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G:\OneDrive\Dokumente\Publikation_BWL\tabellen\"/>
    </mc:Choice>
  </mc:AlternateContent>
  <xr:revisionPtr revIDLastSave="0" documentId="8_{D20B4B5D-B3E2-4C30-8AFC-75CF94D8A4F5}" xr6:coauthVersionLast="37" xr6:coauthVersionMax="37" xr10:uidLastSave="{00000000-0000-0000-0000-000000000000}"/>
  <bookViews>
    <workbookView xWindow="1416" yWindow="48" windowWidth="14868" windowHeight="8580" tabRatio="747" activeTab="2"/>
  </bookViews>
  <sheets>
    <sheet name="Kapitel 01 Fallbeispiel" sheetId="9" r:id="rId1"/>
    <sheet name="Kapitel 10 Fallbeispiel" sheetId="1" r:id="rId2"/>
    <sheet name="Kapitel 11 Fallbeispiel" sheetId="3" r:id="rId3"/>
  </sheets>
  <definedNames>
    <definedName name="_xlnm.Print_Area" localSheetId="1">'Kapitel 10 Fallbeispiel'!$C$2:$D$59</definedName>
    <definedName name="_xlnm.Print_Area" localSheetId="2">'Kapitel 11 Fallbeispiel'!$C$2:$L$220</definedName>
  </definedNames>
  <calcPr calcId="179021"/>
</workbook>
</file>

<file path=xl/calcChain.xml><?xml version="1.0" encoding="utf-8"?>
<calcChain xmlns="http://schemas.openxmlformats.org/spreadsheetml/2006/main">
  <c r="C100" i="3" l="1"/>
  <c r="D258" i="3"/>
  <c r="D270" i="3"/>
  <c r="F305" i="3"/>
  <c r="E305" i="3"/>
  <c r="F85" i="3"/>
  <c r="E85" i="3"/>
  <c r="F295" i="3"/>
  <c r="E295" i="3"/>
  <c r="E9" i="3"/>
  <c r="C57" i="3"/>
  <c r="F93" i="3"/>
  <c r="E93" i="3"/>
  <c r="E69" i="3" s="1"/>
  <c r="E34" i="3"/>
  <c r="E7" i="3"/>
  <c r="E36" i="3"/>
  <c r="E8" i="3" s="1"/>
  <c r="E32" i="3"/>
  <c r="H32" i="3"/>
  <c r="E41" i="3"/>
  <c r="E10" i="3" s="1"/>
  <c r="E21" i="3"/>
  <c r="I21" i="3" s="1"/>
  <c r="E25" i="3"/>
  <c r="F25" i="3" s="1"/>
  <c r="E23" i="3"/>
  <c r="F5" i="9"/>
  <c r="F4" i="9"/>
  <c r="H27" i="3"/>
  <c r="E45" i="3"/>
  <c r="F45" i="3" s="1"/>
  <c r="F27" i="3"/>
  <c r="F41" i="3" s="1"/>
  <c r="G27" i="3"/>
  <c r="I27" i="3"/>
  <c r="J27" i="3"/>
  <c r="J41" i="3" s="1"/>
  <c r="K20" i="3"/>
  <c r="F6" i="9"/>
  <c r="D43" i="1"/>
  <c r="D53" i="1"/>
  <c r="D56" i="1" s="1"/>
  <c r="D59" i="1" s="1"/>
  <c r="D24" i="1" s="1"/>
  <c r="D25" i="1" s="1"/>
  <c r="D36" i="1" s="1"/>
  <c r="D23" i="1"/>
  <c r="D8" i="1"/>
  <c r="D17" i="1" s="1"/>
  <c r="D15" i="1"/>
  <c r="E29" i="3"/>
  <c r="I29" i="3" s="1"/>
  <c r="D29" i="1"/>
  <c r="D34" i="1"/>
  <c r="K24" i="3"/>
  <c r="E24" i="3"/>
  <c r="K30" i="3"/>
  <c r="E30" i="3" s="1"/>
  <c r="K26" i="3"/>
  <c r="E26" i="3"/>
  <c r="K28" i="3"/>
  <c r="K56" i="3"/>
  <c r="E56" i="3"/>
  <c r="K22" i="3"/>
  <c r="E22" i="3" s="1"/>
  <c r="E12" i="9"/>
  <c r="D12" i="9"/>
  <c r="E180" i="3"/>
  <c r="E100" i="3"/>
  <c r="F345" i="3"/>
  <c r="I25" i="3"/>
  <c r="J36" i="3"/>
  <c r="E13" i="3"/>
  <c r="J25" i="3"/>
  <c r="G25" i="3"/>
  <c r="G41" i="3"/>
  <c r="K32" i="3"/>
  <c r="K36" i="3"/>
  <c r="I41" i="3"/>
  <c r="H41" i="3"/>
  <c r="G21" i="3"/>
  <c r="G36" i="3"/>
  <c r="F12" i="9"/>
  <c r="E11" i="9"/>
  <c r="H29" i="3"/>
  <c r="E153" i="3"/>
  <c r="E155" i="3"/>
  <c r="E332" i="3"/>
  <c r="E345" i="3"/>
  <c r="E286" i="3"/>
  <c r="E171" i="3"/>
  <c r="E173" i="3"/>
  <c r="E80" i="3"/>
  <c r="E82" i="3" s="1"/>
  <c r="E162" i="3"/>
  <c r="E164" i="3"/>
  <c r="E319" i="3"/>
  <c r="H25" i="3"/>
  <c r="E6" i="3"/>
  <c r="F32" i="3"/>
  <c r="I32" i="3"/>
  <c r="H36" i="3"/>
  <c r="I36" i="3"/>
  <c r="F332" i="3"/>
  <c r="F180" i="3"/>
  <c r="F36" i="3"/>
  <c r="H45" i="3"/>
  <c r="K25" i="3"/>
  <c r="E300" i="3"/>
  <c r="E302" i="3" s="1"/>
  <c r="E290" i="3"/>
  <c r="E292" i="3" s="1"/>
  <c r="I54" i="3" l="1"/>
  <c r="H23" i="3"/>
  <c r="K23" i="3"/>
  <c r="G23" i="3"/>
  <c r="G54" i="3" s="1"/>
  <c r="I23" i="3"/>
  <c r="F162" i="3"/>
  <c r="F164" i="3" s="1"/>
  <c r="D164" i="3" s="1"/>
  <c r="F319" i="3"/>
  <c r="F80" i="3"/>
  <c r="F171" i="3"/>
  <c r="F173" i="3" s="1"/>
  <c r="D70" i="3"/>
  <c r="D239" i="3" s="1"/>
  <c r="D11" i="9"/>
  <c r="F11" i="9" s="1"/>
  <c r="F100" i="3"/>
  <c r="E5" i="3"/>
  <c r="G34" i="3"/>
  <c r="K34" i="3"/>
  <c r="E43" i="3"/>
  <c r="K45" i="3"/>
  <c r="I45" i="3"/>
  <c r="G45" i="3"/>
  <c r="H21" i="3"/>
  <c r="H54" i="3" s="1"/>
  <c r="F153" i="3"/>
  <c r="F155" i="3" s="1"/>
  <c r="D155" i="3" s="1"/>
  <c r="F29" i="3"/>
  <c r="D173" i="3"/>
  <c r="F23" i="3"/>
  <c r="J45" i="3"/>
  <c r="F286" i="3"/>
  <c r="G32" i="3"/>
  <c r="J32" i="3"/>
  <c r="E39" i="3"/>
  <c r="E4" i="3"/>
  <c r="D384" i="3"/>
  <c r="E38" i="3"/>
  <c r="J23" i="3"/>
  <c r="K21" i="3"/>
  <c r="K27" i="3"/>
  <c r="K41" i="3" s="1"/>
  <c r="E28" i="3"/>
  <c r="K29" i="3"/>
  <c r="G29" i="3"/>
  <c r="E44" i="3"/>
  <c r="J29" i="3"/>
  <c r="F21" i="3"/>
  <c r="J21" i="3"/>
  <c r="F69" i="3"/>
  <c r="I43" i="3" l="1"/>
  <c r="K43" i="3"/>
  <c r="K46" i="3" s="1"/>
  <c r="J43" i="3"/>
  <c r="F43" i="3"/>
  <c r="G43" i="3"/>
  <c r="E46" i="3"/>
  <c r="E47" i="3" s="1"/>
  <c r="E11" i="3"/>
  <c r="H43" i="3"/>
  <c r="F124" i="3"/>
  <c r="D383" i="3"/>
  <c r="E124" i="3"/>
  <c r="D232" i="3"/>
  <c r="D278" i="3"/>
  <c r="D227" i="3"/>
  <c r="K39" i="3"/>
  <c r="F82" i="3"/>
  <c r="D83" i="3" s="1"/>
  <c r="D80" i="3"/>
  <c r="K38" i="3"/>
  <c r="H38" i="3"/>
  <c r="G38" i="3"/>
  <c r="G39" i="3" s="1"/>
  <c r="I38" i="3"/>
  <c r="F38" i="3"/>
  <c r="J38" i="3"/>
  <c r="E55" i="3"/>
  <c r="J54" i="3"/>
  <c r="J34" i="3"/>
  <c r="J39" i="3" s="1"/>
  <c r="I44" i="3"/>
  <c r="H44" i="3"/>
  <c r="E12" i="3"/>
  <c r="K44" i="3"/>
  <c r="F44" i="3"/>
  <c r="J44" i="3"/>
  <c r="G44" i="3"/>
  <c r="F34" i="3"/>
  <c r="F39" i="3" s="1"/>
  <c r="F54" i="3"/>
  <c r="K54" i="3"/>
  <c r="D382" i="3"/>
  <c r="F117" i="3"/>
  <c r="E117" i="3"/>
  <c r="F300" i="3"/>
  <c r="F302" i="3" s="1"/>
  <c r="D303" i="3" s="1"/>
  <c r="F290" i="3"/>
  <c r="F292" i="3" s="1"/>
  <c r="D293" i="3" s="1"/>
  <c r="H34" i="3"/>
  <c r="H39" i="3" s="1"/>
  <c r="I34" i="3"/>
  <c r="E57" i="3" l="1"/>
  <c r="E92" i="3"/>
  <c r="E94" i="3" s="1"/>
  <c r="E342" i="3"/>
  <c r="E318" i="3"/>
  <c r="E330" i="3"/>
  <c r="E54" i="3"/>
  <c r="H55" i="3"/>
  <c r="K55" i="3"/>
  <c r="G55" i="3"/>
  <c r="J55" i="3"/>
  <c r="I55" i="3"/>
  <c r="F55" i="3"/>
  <c r="G46" i="3"/>
  <c r="G47" i="3" s="1"/>
  <c r="G57" i="3" s="1"/>
  <c r="I46" i="3"/>
  <c r="I39" i="3"/>
  <c r="I47" i="3" s="1"/>
  <c r="I57" i="3" s="1"/>
  <c r="F330" i="3"/>
  <c r="F318" i="3"/>
  <c r="F342" i="3"/>
  <c r="F92" i="3"/>
  <c r="F94" i="3" s="1"/>
  <c r="E343" i="3"/>
  <c r="E181" i="3"/>
  <c r="E325" i="3"/>
  <c r="E99" i="3"/>
  <c r="E101" i="3" s="1"/>
  <c r="E331" i="3"/>
  <c r="H46" i="3"/>
  <c r="H47" i="3" s="1"/>
  <c r="H57" i="3" s="1"/>
  <c r="F46" i="3"/>
  <c r="F99" i="3"/>
  <c r="F101" i="3" s="1"/>
  <c r="F331" i="3"/>
  <c r="F325" i="3"/>
  <c r="F181" i="3"/>
  <c r="F343" i="3"/>
  <c r="F47" i="3"/>
  <c r="F57" i="3" s="1"/>
  <c r="K47" i="3"/>
  <c r="K57" i="3" s="1"/>
  <c r="D233" i="3"/>
  <c r="D231" i="3"/>
  <c r="D385" i="3"/>
  <c r="J46" i="3"/>
  <c r="J47" i="3" s="1"/>
  <c r="J57" i="3" s="1"/>
  <c r="J60" i="3" l="1"/>
  <c r="F188" i="3"/>
  <c r="F184" i="3"/>
  <c r="F182" i="3"/>
  <c r="E336" i="3"/>
  <c r="E333" i="3"/>
  <c r="E188" i="3"/>
  <c r="E184" i="3"/>
  <c r="E182" i="3"/>
  <c r="D182" i="3" s="1"/>
  <c r="D95" i="3"/>
  <c r="F323" i="3"/>
  <c r="F320" i="3"/>
  <c r="F336" i="3"/>
  <c r="F333" i="3"/>
  <c r="E344" i="3"/>
  <c r="H59" i="3"/>
  <c r="H60" i="3" s="1"/>
  <c r="G59" i="3"/>
  <c r="G60" i="3" s="1"/>
  <c r="K59" i="3"/>
  <c r="K60" i="3" s="1"/>
  <c r="J59" i="3"/>
  <c r="I59" i="3"/>
  <c r="I60" i="3" s="1"/>
  <c r="D102" i="3"/>
  <c r="F344" i="3"/>
  <c r="E320" i="3"/>
  <c r="E323" i="3"/>
  <c r="D329" i="3"/>
  <c r="D341" i="3"/>
  <c r="D317" i="3"/>
  <c r="H61" i="3" l="1"/>
  <c r="E60" i="3"/>
  <c r="K61" i="3"/>
  <c r="K62" i="3" s="1"/>
  <c r="I61" i="3"/>
  <c r="I62" i="3" s="1"/>
  <c r="J61" i="3"/>
  <c r="D79" i="3"/>
  <c r="D84" i="3" s="1"/>
  <c r="D285" i="3"/>
  <c r="D68" i="3"/>
  <c r="D71" i="3" s="1"/>
  <c r="E59" i="3"/>
  <c r="D321" i="3"/>
  <c r="D322" i="3" s="1"/>
  <c r="D335" i="3"/>
  <c r="E337" i="3" s="1"/>
  <c r="E338" i="3" s="1"/>
  <c r="D334" i="3"/>
  <c r="F349" i="3"/>
  <c r="F346" i="3"/>
  <c r="E346" i="3"/>
  <c r="D347" i="3" s="1"/>
  <c r="D348" i="3" s="1"/>
  <c r="E349" i="3"/>
  <c r="J62" i="3"/>
  <c r="D98" i="3" l="1"/>
  <c r="D149" i="3"/>
  <c r="D103" i="3"/>
  <c r="D109" i="3"/>
  <c r="F324" i="3"/>
  <c r="F326" i="3" s="1"/>
  <c r="E324" i="3"/>
  <c r="E326" i="3" s="1"/>
  <c r="D238" i="3"/>
  <c r="D105" i="3"/>
  <c r="E73" i="3"/>
  <c r="F73" i="3"/>
  <c r="F337" i="3"/>
  <c r="F338" i="3" s="1"/>
  <c r="F86" i="3"/>
  <c r="E86" i="3"/>
  <c r="E61" i="3"/>
  <c r="F350" i="3"/>
  <c r="F351" i="3" s="1"/>
  <c r="E350" i="3"/>
  <c r="E351" i="3" s="1"/>
  <c r="H62" i="3"/>
  <c r="F126" i="3" l="1"/>
  <c r="F127" i="3" s="1"/>
  <c r="F129" i="3" s="1"/>
  <c r="F133" i="3" s="1"/>
  <c r="E126" i="3"/>
  <c r="E127" i="3" s="1"/>
  <c r="E129" i="3" s="1"/>
  <c r="E133" i="3" s="1"/>
  <c r="D106" i="3"/>
  <c r="E62" i="3"/>
  <c r="D91" i="3"/>
  <c r="D110" i="3"/>
  <c r="D111" i="3" s="1"/>
  <c r="D96" i="3"/>
  <c r="D161" i="3"/>
  <c r="D165" i="3" s="1"/>
  <c r="D152" i="3"/>
  <c r="D156" i="3" s="1"/>
  <c r="D170" i="3"/>
  <c r="D174" i="3" s="1"/>
  <c r="D240" i="3"/>
  <c r="D244" i="3" s="1"/>
  <c r="D277" i="3"/>
  <c r="E167" i="3" l="1"/>
  <c r="E190" i="3" s="1"/>
  <c r="F167" i="3"/>
  <c r="F190" i="3" s="1"/>
  <c r="E119" i="3"/>
  <c r="E120" i="3" s="1"/>
  <c r="E121" i="3" s="1"/>
  <c r="F119" i="3"/>
  <c r="F120" i="3" s="1"/>
  <c r="F121" i="3" s="1"/>
  <c r="D226" i="3"/>
  <c r="D107" i="3"/>
  <c r="F176" i="3"/>
  <c r="F191" i="3" s="1"/>
  <c r="E176" i="3"/>
  <c r="E191" i="3" s="1"/>
  <c r="D179" i="3"/>
  <c r="D183" i="3" s="1"/>
  <c r="E140" i="3"/>
  <c r="F140" i="3"/>
  <c r="E158" i="3"/>
  <c r="E189" i="3" s="1"/>
  <c r="F158" i="3"/>
  <c r="F189" i="3" s="1"/>
  <c r="E132" i="3" l="1"/>
  <c r="E134" i="3"/>
  <c r="E193" i="3"/>
  <c r="E138" i="3"/>
  <c r="F138" i="3"/>
  <c r="F134" i="3"/>
  <c r="F132" i="3"/>
  <c r="F193" i="3"/>
  <c r="E185" i="3"/>
  <c r="E192" i="3" s="1"/>
  <c r="F185" i="3"/>
  <c r="F192" i="3" s="1"/>
  <c r="D228" i="3"/>
  <c r="D265" i="3"/>
  <c r="D253" i="3"/>
  <c r="D255" i="3" s="1"/>
  <c r="D289" i="3"/>
  <c r="D234" i="3" l="1"/>
  <c r="D235" i="3" s="1"/>
  <c r="D243" i="3"/>
  <c r="D245" i="3" s="1"/>
  <c r="D294" i="3"/>
  <c r="D299" i="3"/>
  <c r="D304" i="3" s="1"/>
  <c r="F137" i="3"/>
  <c r="F141" i="3"/>
  <c r="F396" i="3" s="1"/>
  <c r="F139" i="3"/>
  <c r="F395" i="3" s="1"/>
  <c r="F393" i="3"/>
  <c r="E139" i="3"/>
  <c r="E395" i="3" s="1"/>
  <c r="E137" i="3"/>
  <c r="E393" i="3"/>
  <c r="D393" i="3" s="1"/>
  <c r="E141" i="3"/>
  <c r="E396" i="3" s="1"/>
  <c r="D263" i="3"/>
  <c r="D267" i="3" s="1"/>
  <c r="D259" i="3"/>
  <c r="D260" i="3" s="1"/>
  <c r="D395" i="3" l="1"/>
  <c r="D396" i="3"/>
  <c r="E143" i="3"/>
  <c r="F143" i="3"/>
  <c r="F306" i="3"/>
  <c r="F310" i="3" s="1"/>
  <c r="E306" i="3"/>
  <c r="E310" i="3" s="1"/>
  <c r="D275" i="3"/>
  <c r="D279" i="3" s="1"/>
  <c r="D271" i="3"/>
  <c r="D272" i="3" s="1"/>
  <c r="E296" i="3"/>
  <c r="F296" i="3"/>
  <c r="E309" i="3" l="1"/>
  <c r="E311" i="3"/>
  <c r="F201" i="3"/>
  <c r="F202" i="3"/>
  <c r="F199" i="3"/>
  <c r="E199" i="3"/>
  <c r="E201" i="3"/>
  <c r="E202" i="3" s="1"/>
  <c r="F309" i="3"/>
  <c r="F311" i="3"/>
  <c r="E205" i="3" l="1"/>
  <c r="E392" i="3"/>
  <c r="F205" i="3"/>
  <c r="F392" i="3"/>
  <c r="F394" i="3" s="1"/>
  <c r="F397" i="3" s="1"/>
  <c r="F208" i="3" l="1"/>
  <c r="F358" i="3"/>
  <c r="E394" i="3"/>
  <c r="D392" i="3"/>
  <c r="D378" i="3" s="1"/>
  <c r="D381" i="3" s="1"/>
  <c r="D386" i="3" s="1"/>
  <c r="E358" i="3"/>
  <c r="E208" i="3"/>
  <c r="F207" i="3" l="1"/>
  <c r="F211" i="3"/>
  <c r="F214" i="3" s="1"/>
  <c r="E397" i="3"/>
  <c r="D397" i="3" s="1"/>
  <c r="D394" i="3"/>
  <c r="E368" i="3"/>
  <c r="E360" i="3"/>
  <c r="E363" i="3"/>
  <c r="E211" i="3"/>
  <c r="E214" i="3" s="1"/>
  <c r="E207" i="3"/>
  <c r="F368" i="3"/>
  <c r="F363" i="3"/>
  <c r="F360" i="3"/>
  <c r="F372" i="3" l="1"/>
  <c r="F370" i="3"/>
  <c r="F371" i="3" s="1"/>
  <c r="D361" i="3"/>
  <c r="D362" i="3" s="1"/>
  <c r="F364" i="3" s="1"/>
  <c r="F365" i="3" s="1"/>
  <c r="F213" i="3"/>
  <c r="F217" i="3"/>
  <c r="E213" i="3"/>
  <c r="E217" i="3"/>
  <c r="E370" i="3"/>
  <c r="E371" i="3" s="1"/>
  <c r="E372" i="3"/>
  <c r="E364" i="3" l="1"/>
  <c r="E365" i="3" s="1"/>
  <c r="F219" i="3"/>
  <c r="F220" i="3" s="1"/>
  <c r="E219" i="3"/>
  <c r="E220" i="3" s="1"/>
</calcChain>
</file>

<file path=xl/sharedStrings.xml><?xml version="1.0" encoding="utf-8"?>
<sst xmlns="http://schemas.openxmlformats.org/spreadsheetml/2006/main" count="461" uniqueCount="352">
  <si>
    <t>Aktiva</t>
  </si>
  <si>
    <t>Passiva</t>
  </si>
  <si>
    <t>Umsatzerlöse</t>
  </si>
  <si>
    <t>Steuern vom Einkommen und vom Ertrag</t>
  </si>
  <si>
    <t>Summe Aktiva</t>
  </si>
  <si>
    <t>A. Eigenkapital</t>
  </si>
  <si>
    <t xml:space="preserve">B. Rückstellungen </t>
  </si>
  <si>
    <t>C. Verbindlichkeiten</t>
  </si>
  <si>
    <t>I. Gezeichnetes Kapital</t>
  </si>
  <si>
    <t>Summe Passiva</t>
  </si>
  <si>
    <t>Bestandsveränderungen und andere aktivierte Eigenleistungen</t>
  </si>
  <si>
    <t>Gesamtleistung</t>
  </si>
  <si>
    <t>Materialaufwand</t>
  </si>
  <si>
    <t>Personalaufwand</t>
  </si>
  <si>
    <t>Beteiligungsergebnis</t>
  </si>
  <si>
    <t>Zinsergebnis</t>
  </si>
  <si>
    <t>Sonstige betriebliche Erträge</t>
  </si>
  <si>
    <t>Abschreibungen auf immaterielle Vermögensgegenstände und Sachanlagen</t>
  </si>
  <si>
    <t>Sonstige betriebliche Aufwendungen</t>
  </si>
  <si>
    <t>Ergebnis der gewöhnlichen Geschäftstätigkeit</t>
  </si>
  <si>
    <t>Jahresüberschuss</t>
  </si>
  <si>
    <t>Einstellung in Gewinnrücklagen</t>
  </si>
  <si>
    <t>Bilanzgewinn</t>
  </si>
  <si>
    <t>D. Rechnungsabgrenzungsposten</t>
  </si>
  <si>
    <t xml:space="preserve">A. Anlagevermögen </t>
  </si>
  <si>
    <t>B. Umlaufvermögen</t>
  </si>
  <si>
    <t>C. Rechnungsabgrenzungsposten</t>
  </si>
  <si>
    <t>I. Immaterielle Vermögensgegenstände</t>
  </si>
  <si>
    <t>II. Sachanlagen</t>
  </si>
  <si>
    <t>III. Finanzanlagen</t>
  </si>
  <si>
    <t>I. Vorräte</t>
  </si>
  <si>
    <t>II. Kapitalrücklagen</t>
  </si>
  <si>
    <t>III. Gewinnrücklagen</t>
  </si>
  <si>
    <t>IV. Bilanzgewinn</t>
  </si>
  <si>
    <t>I. Finanzverbindlichkeiten</t>
  </si>
  <si>
    <t>III. Übrige Verbindlichkeiten</t>
  </si>
  <si>
    <t>IV. Wertpapiere</t>
  </si>
  <si>
    <t>V. Flüssige Mittel</t>
  </si>
  <si>
    <t>II. Übrige Rückstellungen</t>
  </si>
  <si>
    <t>Abschreibungen auf Finanzanlagen und Wertpapiere des Umlaufvermögens</t>
  </si>
  <si>
    <t>Kantine</t>
  </si>
  <si>
    <t>Material</t>
  </si>
  <si>
    <t>Fertigung</t>
  </si>
  <si>
    <t>Verwaltung</t>
  </si>
  <si>
    <t>Vertrieb</t>
  </si>
  <si>
    <t>Kostenstellendaten</t>
  </si>
  <si>
    <t>Fläche [m²]</t>
  </si>
  <si>
    <t>Materialeinzelkosten</t>
  </si>
  <si>
    <t>Wertanteil Materialentnahmen [%]</t>
  </si>
  <si>
    <t>Instandhaltungsstunden [h]</t>
  </si>
  <si>
    <t>Summe</t>
  </si>
  <si>
    <t>Schlüssel</t>
  </si>
  <si>
    <t>Entnahmeschein</t>
  </si>
  <si>
    <t>Gehaltsliste</t>
  </si>
  <si>
    <t>Lohnlisten</t>
  </si>
  <si>
    <t>Anlagevermögen</t>
  </si>
  <si>
    <t>Anzahl Lohnempfänger</t>
  </si>
  <si>
    <t>Anzahl Gehaltsempfänger</t>
  </si>
  <si>
    <t>Herstellkosten</t>
  </si>
  <si>
    <t>Speedster City</t>
  </si>
  <si>
    <t>Speedster Family</t>
  </si>
  <si>
    <t>Zurechnung</t>
  </si>
  <si>
    <t>Mitarbeiterzahl</t>
  </si>
  <si>
    <t>Materialkosten</t>
  </si>
  <si>
    <t>Fertigungskosten</t>
  </si>
  <si>
    <t>Barverkaufspreis</t>
  </si>
  <si>
    <t>Nettoverkaufspreis</t>
  </si>
  <si>
    <t>Fläche</t>
  </si>
  <si>
    <t>Instandhaltungsst.</t>
  </si>
  <si>
    <t>Abnutzbares Anlagevermögen [T€]</t>
  </si>
  <si>
    <t>Material (HB-Stoffe) [T€]</t>
  </si>
  <si>
    <t>Hilfslöhne [T€]</t>
  </si>
  <si>
    <t>Gehälter [T€]</t>
  </si>
  <si>
    <t>Kalk. Abschreibungen [T€]</t>
  </si>
  <si>
    <t>Kostenstelleinzelkosten</t>
  </si>
  <si>
    <t>Kostenstellengemeinkosten</t>
  </si>
  <si>
    <t>Fremdleistungskosten [T€]</t>
  </si>
  <si>
    <t>Versicherungen [T€]</t>
  </si>
  <si>
    <t>Kalkulatorische Zinsen [T€]</t>
  </si>
  <si>
    <t>Grundsteuer [T€]</t>
  </si>
  <si>
    <t>Leistungsverrechnung</t>
  </si>
  <si>
    <t>Umlage Kantine [T€]</t>
  </si>
  <si>
    <t>Zwischensumme [T€]</t>
  </si>
  <si>
    <t>Umlage Instandhaltung [T€]</t>
  </si>
  <si>
    <t>Kostenträgereinzelkosten</t>
  </si>
  <si>
    <t>Selbstkosten</t>
  </si>
  <si>
    <t>Fertigungslöhne</t>
  </si>
  <si>
    <t>Lohnempfänger</t>
  </si>
  <si>
    <t>Gehaltsempfänger</t>
  </si>
  <si>
    <t>Jahr</t>
  </si>
  <si>
    <t xml:space="preserve"> + Fertigungskosten Fk</t>
  </si>
  <si>
    <t xml:space="preserve"> = Materialkosten Mk</t>
  </si>
  <si>
    <t xml:space="preserve">    Materialeinzelkosten MEk</t>
  </si>
  <si>
    <t xml:space="preserve">    Fertigungseinzelkosten FEk</t>
  </si>
  <si>
    <t xml:space="preserve"> = Fertigungskosten Fk</t>
  </si>
  <si>
    <t xml:space="preserve">    Materialkosten Mk</t>
  </si>
  <si>
    <t xml:space="preserve"> = Herstellkosten Hk</t>
  </si>
  <si>
    <t xml:space="preserve">    Herstellkosten Hk</t>
  </si>
  <si>
    <t xml:space="preserve"> = Selbstkosten Sk</t>
  </si>
  <si>
    <t>Ermittlung des Verkaufspreises</t>
  </si>
  <si>
    <t xml:space="preserve">    Selbstkosten Sk</t>
  </si>
  <si>
    <t xml:space="preserve"> = Barverkaufspreis</t>
  </si>
  <si>
    <t>Vorkostenstellen</t>
  </si>
  <si>
    <t>Endkostenstellen</t>
  </si>
  <si>
    <t>Zielverkaufspreis</t>
  </si>
  <si>
    <t>Bruttoverkaufspreis</t>
  </si>
  <si>
    <t xml:space="preserve"> = Zielverkaufspreis</t>
  </si>
  <si>
    <t xml:space="preserve">    Barverkaufspreis</t>
  </si>
  <si>
    <t xml:space="preserve">    Zielverkaufspreis</t>
  </si>
  <si>
    <t xml:space="preserve"> = Nettoverkaufspreis</t>
  </si>
  <si>
    <t xml:space="preserve">    Nettoverkaufspreis</t>
  </si>
  <si>
    <t xml:space="preserve">    Umsatzsteuersatz</t>
  </si>
  <si>
    <t xml:space="preserve"> = Bruttoverkaufspreis</t>
  </si>
  <si>
    <t xml:space="preserve"> + Sondereinzelkosten des Vertriebs</t>
  </si>
  <si>
    <t xml:space="preserve"> + Sondereinzelkosten der Fertigung</t>
  </si>
  <si>
    <t>Kostenart</t>
  </si>
  <si>
    <t>Betrag</t>
  </si>
  <si>
    <t>Material (Hilfs- und Betriebsstoffe)</t>
  </si>
  <si>
    <t>Hilfslöhne</t>
  </si>
  <si>
    <t>Gehälter</t>
  </si>
  <si>
    <t>Kalkulatorische Abschreibungen</t>
  </si>
  <si>
    <t>Versicherungen</t>
  </si>
  <si>
    <t>Kalkulatorische Zinsen</t>
  </si>
  <si>
    <t>Grundsteuer</t>
  </si>
  <si>
    <t>Primäre Gemeinkosten [T€]</t>
  </si>
  <si>
    <t>Primäre u. sekundäre Gk [T€]</t>
  </si>
  <si>
    <t>FGk</t>
  </si>
  <si>
    <t>MGk</t>
  </si>
  <si>
    <t>VwGk</t>
  </si>
  <si>
    <t>VtGk</t>
  </si>
  <si>
    <t xml:space="preserve">    Gewinnaufschlagssatz</t>
  </si>
  <si>
    <t>II. Forderungen aus Lieferung und Leistung</t>
  </si>
  <si>
    <t>III. Übrige Forderungen und sonstige Vermögensgegenstände</t>
  </si>
  <si>
    <t>I. Rückstellungen für Pensionen und ähnliche Verpflichtungen</t>
  </si>
  <si>
    <t>II. Verbindlichkeiten aus Lieferungen und Leistungen</t>
  </si>
  <si>
    <t xml:space="preserve">Kostenstelleneinzelkosten
</t>
  </si>
  <si>
    <t>Speedy GmbH</t>
  </si>
  <si>
    <t>Materialeinzelkosten MEk je Stück</t>
  </si>
  <si>
    <t>Fertigungseinzelkosten FEk je Stück</t>
  </si>
  <si>
    <t>Fertigungseinzelkosten FEk je Jahr</t>
  </si>
  <si>
    <t>Instandhaltung</t>
  </si>
  <si>
    <t>Fremdleistungs-kosten</t>
  </si>
  <si>
    <t xml:space="preserve">Kostenstellengemeinkosten
</t>
  </si>
  <si>
    <t xml:space="preserve">    Materialfaktor</t>
  </si>
  <si>
    <t xml:space="preserve">    Fertigungsfaktor</t>
  </si>
  <si>
    <t xml:space="preserve"> + Gewinnaufschlag =
    Sk · Gewinnaufschlagssatz</t>
  </si>
  <si>
    <t xml:space="preserve">    Durchschnittlicher Skontosatz 
    bezogen auf den Zielverkaufspreis</t>
  </si>
  <si>
    <t xml:space="preserve"> + Kundenskonto = Barverkaufspreis · 
    (1 / (1 - Skonto) - 1)</t>
  </si>
  <si>
    <t xml:space="preserve">    Durchschnittlicher Rabattsatz be-
    zogen auf den Nettoverkaufspreis</t>
  </si>
  <si>
    <t xml:space="preserve"> + Kundenrabatt =  Zielverkaufspreis · 
    (1 / (1 - Rabatt) - 1)</t>
  </si>
  <si>
    <t xml:space="preserve"> + Umsatzsteuer = Nettoverkaufspreis
    · Umsatzsteuersatz</t>
  </si>
  <si>
    <t>Anteil Lohnempfänger</t>
  </si>
  <si>
    <t>Anteil Gehaltsempfänger</t>
  </si>
  <si>
    <t>Anlageanteile</t>
  </si>
  <si>
    <t>Flächenanteile</t>
  </si>
  <si>
    <t>Kapitalanteil</t>
  </si>
  <si>
    <t>Anteil am Materialaufwand GuV</t>
  </si>
  <si>
    <t>Anteil am Personalaufwand GuV</t>
  </si>
  <si>
    <t>Anteil an sonstigen Aufwendungen</t>
  </si>
  <si>
    <t>Instandhaltungsanteil</t>
  </si>
  <si>
    <t xml:space="preserve"> = Selbstkosten Sk je Stück</t>
  </si>
  <si>
    <t xml:space="preserve">    Gesamtkosten K je Jahr</t>
  </si>
  <si>
    <t>Teilefertigung</t>
  </si>
  <si>
    <t>Montage</t>
  </si>
  <si>
    <t>Rahmendaten</t>
  </si>
  <si>
    <t>Fertigungsrestgemeinkosten</t>
  </si>
  <si>
    <t>Basis Materialeinzelkosten</t>
  </si>
  <si>
    <t>Basis Fertigungseinzelkosten</t>
  </si>
  <si>
    <t>Basis Material- und Fertigungseinzelkosten</t>
  </si>
  <si>
    <t xml:space="preserve"> = Einheitsstückzahlen</t>
  </si>
  <si>
    <t xml:space="preserve"> /  Summe Einheitsstückzahlen</t>
  </si>
  <si>
    <t xml:space="preserve"> = Selbstkosten Sk Produkte</t>
  </si>
  <si>
    <t>Fertigungsgemeinkosten FGk je Jahr</t>
  </si>
  <si>
    <t>Prüfung</t>
  </si>
  <si>
    <t xml:space="preserve">    Herstellkosten Hk je Jahr</t>
  </si>
  <si>
    <t>×  Herstellkosten Hk je Stück</t>
  </si>
  <si>
    <t xml:space="preserve"> = Wert der Bestandsveränderung</t>
  </si>
  <si>
    <t xml:space="preserve"> = Bestandsveränderung</t>
  </si>
  <si>
    <t xml:space="preserve"> = Herstellkosten Hk je Stück</t>
  </si>
  <si>
    <t xml:space="preserve"> = Verwaltungs- und Vertriebskosten VwVtk je Stück</t>
  </si>
  <si>
    <t>Stufe 1</t>
  </si>
  <si>
    <t>Stufe 2</t>
  </si>
  <si>
    <t>Bestandsveränderungen zwischen Stufen</t>
  </si>
  <si>
    <t>Stufe 3: Verwaltung und Vertrieb</t>
  </si>
  <si>
    <t>Stufe 1: Herstellung 1</t>
  </si>
  <si>
    <t xml:space="preserve">    Umsatzerlöse</t>
  </si>
  <si>
    <t xml:space="preserve"> + Bestandsveränderungen</t>
  </si>
  <si>
    <t xml:space="preserve"> + Aktivierte Eigenleistungen</t>
  </si>
  <si>
    <t xml:space="preserve"> = Gesamtleistung</t>
  </si>
  <si>
    <t xml:space="preserve"> – Personalkosten</t>
  </si>
  <si>
    <t xml:space="preserve"> – Abschreibungen</t>
  </si>
  <si>
    <t xml:space="preserve"> = Betriebsergebnis</t>
  </si>
  <si>
    <t>Bestandsveränderung</t>
  </si>
  <si>
    <t>Stufe 1: Herstellung</t>
  </si>
  <si>
    <t>Stufe 2: Verwaltung und Vertrieb</t>
  </si>
  <si>
    <t xml:space="preserve">    Verwaltungs- und Vertriebskosten VwVtk je Jahr</t>
  </si>
  <si>
    <t xml:space="preserve">    Herstellkosten Hk je Stück</t>
  </si>
  <si>
    <t xml:space="preserve"> + Verwaltungs- und Vertriebskosten VwVtk je Stück</t>
  </si>
  <si>
    <t xml:space="preserve"> = Zuschlagssatz</t>
  </si>
  <si>
    <t xml:space="preserve">    Materialeinzelkosten MEk je Stück</t>
  </si>
  <si>
    <t xml:space="preserve"> = Gemeinkosten Gk je Stück</t>
  </si>
  <si>
    <t xml:space="preserve"> × Materialeinzelkosten MEk je Stück</t>
  </si>
  <si>
    <t xml:space="preserve"> + Fertigungseinzelkosten FEk je Stück</t>
  </si>
  <si>
    <t xml:space="preserve">    Gemeinkosten Gk je Jahr</t>
  </si>
  <si>
    <t xml:space="preserve">    Fertigungseinzelkosten FEk je Stück</t>
  </si>
  <si>
    <t xml:space="preserve"> × Fertigungseinzelkosten FEk je Stück</t>
  </si>
  <si>
    <t xml:space="preserve"> = (MEk + FEk) je Stück</t>
  </si>
  <si>
    <t xml:space="preserve"> × (MEk + FEk) je Stück</t>
  </si>
  <si>
    <t xml:space="preserve"> = Fertigungskosten Fk je Stück</t>
  </si>
  <si>
    <t xml:space="preserve"> + Fertigungsrestgemeinkosten FRGk je Stück</t>
  </si>
  <si>
    <t xml:space="preserve"> × Produktions- und Absatzstückzahlen x je Jahr</t>
  </si>
  <si>
    <t xml:space="preserve"> = Materialeinzelkosten MEk je Jahr</t>
  </si>
  <si>
    <t xml:space="preserve"> /  Summe Materialeinzelkosten MEk je Jahr</t>
  </si>
  <si>
    <t xml:space="preserve"> = Fertigungseinzelkosten FEk je Jahr</t>
  </si>
  <si>
    <t xml:space="preserve"> /  Summe Fertigungseinzelkosten FEk je Jahr</t>
  </si>
  <si>
    <t xml:space="preserve"> = (MEk + FEk) je Jahr</t>
  </si>
  <si>
    <t xml:space="preserve"> /  Summe (MEk + FEk) je Jahr</t>
  </si>
  <si>
    <t xml:space="preserve">    Produktionsstückzahlen x je Jahr</t>
  </si>
  <si>
    <t xml:space="preserve">    Fertigungsrestgemeinkosten FRGk je Jahr</t>
  </si>
  <si>
    <t xml:space="preserve"> = Fertigungsrestgemeinkostenzuschlagssatz FRGkZs</t>
  </si>
  <si>
    <t xml:space="preserve"> = Fertigungsrestgemeinkosten FRGk je Stück</t>
  </si>
  <si>
    <t xml:space="preserve"> = Bruttoergebnis</t>
  </si>
  <si>
    <t>Stufe 2: Herstellung 2</t>
  </si>
  <si>
    <t>Autohändler</t>
  </si>
  <si>
    <t xml:space="preserve">    Anschaffungskosten Ak je Stück</t>
  </si>
  <si>
    <t xml:space="preserve"> × Absatzstückzahlen x je Jahr</t>
  </si>
  <si>
    <t xml:space="preserve"> = Anschaffungskosten Ak der Umsatzerlöse je Jahr</t>
  </si>
  <si>
    <t xml:space="preserve"> /  Summe Anschaffungskosten Ak der Umsatzerlöse je Jahr</t>
  </si>
  <si>
    <t xml:space="preserve"> × Anschaffungskosten Ak je Stück</t>
  </si>
  <si>
    <t xml:space="preserve">    Handlungs-/Gemeinkosten Gk je Jahr</t>
  </si>
  <si>
    <t xml:space="preserve"> = Handlungs-/Gemeinkosten Gk je Stück</t>
  </si>
  <si>
    <t>Kalkulationszuschlag</t>
  </si>
  <si>
    <t>Handlungskostenzuschlagssatz</t>
  </si>
  <si>
    <t xml:space="preserve"> = Bruttoverkaufspreis je Stück</t>
  </si>
  <si>
    <t xml:space="preserve">    Kalkulationszuschlag</t>
  </si>
  <si>
    <t xml:space="preserve"> = Gk + Gewinn + Verkaufszuschläge + Umsatzsteuer</t>
  </si>
  <si>
    <t xml:space="preserve"> = Handlungskostenzuschlagssatz HakZs</t>
  </si>
  <si>
    <t xml:space="preserve">    Produktions- und Absatzstückzahlen x je Jahr</t>
  </si>
  <si>
    <t xml:space="preserve"> = Selbstkosten Einheitsprodukt</t>
  </si>
  <si>
    <t xml:space="preserve"> = Selbstkosten Einheitsprodukt je Stück</t>
  </si>
  <si>
    <t>Tab. 1-2</t>
  </si>
  <si>
    <t xml:space="preserve"> ×  Äquivalenzziffern Äz</t>
  </si>
  <si>
    <t xml:space="preserve"> –  Materialkosten</t>
  </si>
  <si>
    <t xml:space="preserve"> –  Sonstige Kosten</t>
  </si>
  <si>
    <t xml:space="preserve"> –  Herstellkosten der Umsatzerlöse</t>
  </si>
  <si>
    <t xml:space="preserve"> –  Verwaltungskosten</t>
  </si>
  <si>
    <t xml:space="preserve"> –  Vertriebskosten</t>
  </si>
  <si>
    <t>Tab. 1-3</t>
  </si>
  <si>
    <t>0001</t>
  </si>
  <si>
    <t>0002</t>
  </si>
  <si>
    <t>Prognose 0003</t>
  </si>
  <si>
    <t>Gewinn- und Verlustrechnung der Speedy GmbH für die Zeit vom 01.01.0001 bis 31.12.0001</t>
  </si>
  <si>
    <r>
      <t xml:space="preserve">    Fertigungsgemeinkosten FGk</t>
    </r>
    <r>
      <rPr>
        <vertAlign val="subscript"/>
        <sz val="10"/>
        <color indexed="8"/>
        <rFont val="Calibri"/>
        <family val="2"/>
      </rPr>
      <t>Teilefertigung</t>
    </r>
    <r>
      <rPr>
        <sz val="10"/>
        <color indexed="8"/>
        <rFont val="Calibri"/>
        <family val="2"/>
      </rPr>
      <t xml:space="preserve"> je Jahr</t>
    </r>
  </si>
  <si>
    <r>
      <t xml:space="preserve"> × Maschinenstunden</t>
    </r>
    <r>
      <rPr>
        <vertAlign val="subscript"/>
        <sz val="10"/>
        <color indexed="8"/>
        <rFont val="Calibri"/>
        <family val="2"/>
      </rPr>
      <t>Teilefertigung</t>
    </r>
    <r>
      <rPr>
        <sz val="10"/>
        <color indexed="8"/>
        <rFont val="Calibri"/>
        <family val="2"/>
      </rPr>
      <t xml:space="preserve"> je Stück</t>
    </r>
  </si>
  <si>
    <r>
      <t xml:space="preserve"> = Maschinenstunden</t>
    </r>
    <r>
      <rPr>
        <vertAlign val="subscript"/>
        <sz val="10"/>
        <color indexed="8"/>
        <rFont val="Calibri"/>
        <family val="2"/>
      </rPr>
      <t>Teilefertigung</t>
    </r>
    <r>
      <rPr>
        <sz val="10"/>
        <color indexed="8"/>
        <rFont val="Calibri"/>
        <family val="2"/>
      </rPr>
      <t xml:space="preserve"> je Jahr</t>
    </r>
  </si>
  <si>
    <r>
      <t xml:space="preserve"> = Maschinenstundensatz Mss</t>
    </r>
    <r>
      <rPr>
        <b/>
        <vertAlign val="subscript"/>
        <sz val="10"/>
        <color indexed="8"/>
        <rFont val="Calibri"/>
        <family val="2"/>
      </rPr>
      <t>Teilefertigung</t>
    </r>
  </si>
  <si>
    <r>
      <t xml:space="preserve"> = Fertigungsgemeinkosten FGk</t>
    </r>
    <r>
      <rPr>
        <b/>
        <vertAlign val="subscript"/>
        <sz val="10"/>
        <color indexed="8"/>
        <rFont val="Calibri"/>
        <family val="2"/>
      </rPr>
      <t>Teilfertigung</t>
    </r>
    <r>
      <rPr>
        <b/>
        <sz val="10"/>
        <color indexed="8"/>
        <rFont val="Calibri"/>
        <family val="2"/>
      </rPr>
      <t xml:space="preserve"> je Stück</t>
    </r>
  </si>
  <si>
    <r>
      <t xml:space="preserve">    Fertigungsgemeinkosten FGk</t>
    </r>
    <r>
      <rPr>
        <vertAlign val="subscript"/>
        <sz val="10"/>
        <color indexed="8"/>
        <rFont val="Calibri"/>
        <family val="2"/>
      </rPr>
      <t>Montage</t>
    </r>
    <r>
      <rPr>
        <sz val="10"/>
        <color indexed="8"/>
        <rFont val="Calibri"/>
        <family val="2"/>
      </rPr>
      <t xml:space="preserve"> je Jahr</t>
    </r>
  </si>
  <si>
    <r>
      <t xml:space="preserve"> × Maschinenstunden</t>
    </r>
    <r>
      <rPr>
        <vertAlign val="subscript"/>
        <sz val="10"/>
        <color indexed="8"/>
        <rFont val="Calibri"/>
        <family val="2"/>
      </rPr>
      <t>Montage</t>
    </r>
    <r>
      <rPr>
        <sz val="10"/>
        <color indexed="8"/>
        <rFont val="Calibri"/>
        <family val="2"/>
      </rPr>
      <t xml:space="preserve"> je Stück</t>
    </r>
  </si>
  <si>
    <r>
      <t xml:space="preserve"> = Maschinenstunden</t>
    </r>
    <r>
      <rPr>
        <vertAlign val="subscript"/>
        <sz val="10"/>
        <color indexed="8"/>
        <rFont val="Calibri"/>
        <family val="2"/>
      </rPr>
      <t>Montage</t>
    </r>
    <r>
      <rPr>
        <sz val="10"/>
        <color indexed="8"/>
        <rFont val="Calibri"/>
        <family val="2"/>
      </rPr>
      <t xml:space="preserve"> je Jahr</t>
    </r>
  </si>
  <si>
    <r>
      <t xml:space="preserve"> = Maschinenstundensatz Mss</t>
    </r>
    <r>
      <rPr>
        <b/>
        <vertAlign val="subscript"/>
        <sz val="10"/>
        <color indexed="8"/>
        <rFont val="Calibri"/>
        <family val="2"/>
      </rPr>
      <t>Montage</t>
    </r>
  </si>
  <si>
    <r>
      <t xml:space="preserve"> = Fertigungsgemeinkosten FGk</t>
    </r>
    <r>
      <rPr>
        <b/>
        <vertAlign val="subscript"/>
        <sz val="10"/>
        <color indexed="8"/>
        <rFont val="Calibri"/>
        <family val="2"/>
      </rPr>
      <t>Montage</t>
    </r>
    <r>
      <rPr>
        <b/>
        <sz val="10"/>
        <color indexed="8"/>
        <rFont val="Calibri"/>
        <family val="2"/>
      </rPr>
      <t xml:space="preserve"> je Stück</t>
    </r>
  </si>
  <si>
    <r>
      <t xml:space="preserve">    Fertigungsgemeinkosten FGk</t>
    </r>
    <r>
      <rPr>
        <vertAlign val="subscript"/>
        <sz val="10"/>
        <color indexed="8"/>
        <rFont val="Calibri"/>
        <family val="2"/>
      </rPr>
      <t>Prüfung</t>
    </r>
    <r>
      <rPr>
        <sz val="10"/>
        <color indexed="8"/>
        <rFont val="Calibri"/>
        <family val="2"/>
      </rPr>
      <t xml:space="preserve"> je Jahr</t>
    </r>
  </si>
  <si>
    <r>
      <t xml:space="preserve"> × Maschinenstunden Ms</t>
    </r>
    <r>
      <rPr>
        <vertAlign val="subscript"/>
        <sz val="10"/>
        <color indexed="8"/>
        <rFont val="Calibri"/>
        <family val="2"/>
      </rPr>
      <t>Prüfung</t>
    </r>
    <r>
      <rPr>
        <sz val="10"/>
        <color indexed="8"/>
        <rFont val="Calibri"/>
        <family val="2"/>
      </rPr>
      <t xml:space="preserve"> je Stück</t>
    </r>
  </si>
  <si>
    <r>
      <t xml:space="preserve"> = Maschinenstunden Ms</t>
    </r>
    <r>
      <rPr>
        <vertAlign val="subscript"/>
        <sz val="10"/>
        <color indexed="8"/>
        <rFont val="Calibri"/>
        <family val="2"/>
      </rPr>
      <t>Prüfung</t>
    </r>
    <r>
      <rPr>
        <sz val="10"/>
        <color indexed="8"/>
        <rFont val="Calibri"/>
        <family val="2"/>
      </rPr>
      <t xml:space="preserve"> je Jahr</t>
    </r>
  </si>
  <si>
    <r>
      <t xml:space="preserve"> = Maschinenstundensatz Mss</t>
    </r>
    <r>
      <rPr>
        <vertAlign val="subscript"/>
        <sz val="10"/>
        <color indexed="8"/>
        <rFont val="Calibri"/>
        <family val="2"/>
      </rPr>
      <t>Prüfung</t>
    </r>
  </si>
  <si>
    <r>
      <t xml:space="preserve"> = Fertigungsgemeinkosten FGk</t>
    </r>
    <r>
      <rPr>
        <b/>
        <vertAlign val="subscript"/>
        <sz val="10"/>
        <color indexed="8"/>
        <rFont val="Calibri"/>
        <family val="2"/>
      </rPr>
      <t>Prüfung</t>
    </r>
    <r>
      <rPr>
        <b/>
        <sz val="10"/>
        <color indexed="8"/>
        <rFont val="Calibri"/>
        <family val="2"/>
      </rPr>
      <t xml:space="preserve"> je Stück</t>
    </r>
  </si>
  <si>
    <r>
      <t xml:space="preserve"> + Fertigungsgemeinkosten FGk</t>
    </r>
    <r>
      <rPr>
        <vertAlign val="subscript"/>
        <sz val="10"/>
        <color indexed="8"/>
        <rFont val="Calibri"/>
        <family val="2"/>
      </rPr>
      <t>Teilfertigung</t>
    </r>
    <r>
      <rPr>
        <sz val="10"/>
        <color indexed="8"/>
        <rFont val="Calibri"/>
        <family val="2"/>
      </rPr>
      <t xml:space="preserve"> je Stück</t>
    </r>
  </si>
  <si>
    <r>
      <t xml:space="preserve"> + Fertigungsgemeinkosten FGk</t>
    </r>
    <r>
      <rPr>
        <vertAlign val="subscript"/>
        <sz val="10"/>
        <color indexed="8"/>
        <rFont val="Calibri"/>
        <family val="2"/>
      </rPr>
      <t>Montage</t>
    </r>
    <r>
      <rPr>
        <sz val="10"/>
        <color indexed="8"/>
        <rFont val="Calibri"/>
        <family val="2"/>
      </rPr>
      <t xml:space="preserve"> je Stück</t>
    </r>
  </si>
  <si>
    <r>
      <t xml:space="preserve"> + Fertigungsgemeinkosten FGk</t>
    </r>
    <r>
      <rPr>
        <vertAlign val="subscript"/>
        <sz val="10"/>
        <color indexed="8"/>
        <rFont val="Calibri"/>
        <family val="2"/>
      </rPr>
      <t>Prüfung</t>
    </r>
    <r>
      <rPr>
        <sz val="10"/>
        <color indexed="8"/>
        <rFont val="Calibri"/>
        <family val="2"/>
      </rPr>
      <t xml:space="preserve"> je Stück</t>
    </r>
  </si>
  <si>
    <r>
      <t xml:space="preserve"> /  Produktionsstückzahl x</t>
    </r>
    <r>
      <rPr>
        <vertAlign val="subscript"/>
        <sz val="10"/>
        <color indexed="8"/>
        <rFont val="Calibri"/>
        <family val="2"/>
      </rPr>
      <t>Pr</t>
    </r>
    <r>
      <rPr>
        <sz val="10"/>
        <color indexed="8"/>
        <rFont val="Calibri"/>
        <family val="2"/>
      </rPr>
      <t xml:space="preserve"> je Jahr</t>
    </r>
  </si>
  <si>
    <r>
      <t xml:space="preserve">    Produktionsstückzahl x</t>
    </r>
    <r>
      <rPr>
        <vertAlign val="subscript"/>
        <sz val="10"/>
        <color indexed="8"/>
        <rFont val="Calibri"/>
        <family val="2"/>
      </rPr>
      <t>Pr</t>
    </r>
    <r>
      <rPr>
        <sz val="10"/>
        <color indexed="8"/>
        <rFont val="Calibri"/>
        <family val="2"/>
      </rPr>
      <t xml:space="preserve"> je Jahr</t>
    </r>
  </si>
  <si>
    <r>
      <t xml:space="preserve"> –  Absatzstückzahl x</t>
    </r>
    <r>
      <rPr>
        <vertAlign val="subscript"/>
        <sz val="10"/>
        <color indexed="8"/>
        <rFont val="Calibri"/>
        <family val="2"/>
      </rPr>
      <t>Ab</t>
    </r>
    <r>
      <rPr>
        <sz val="10"/>
        <color indexed="8"/>
        <rFont val="Calibri"/>
        <family val="2"/>
      </rPr>
      <t xml:space="preserve"> je Jahr</t>
    </r>
  </si>
  <si>
    <r>
      <t xml:space="preserve"> /  Absatzstückzahl x</t>
    </r>
    <r>
      <rPr>
        <vertAlign val="subscript"/>
        <sz val="10"/>
        <color indexed="8"/>
        <rFont val="Calibri"/>
        <family val="2"/>
      </rPr>
      <t>Ab</t>
    </r>
    <r>
      <rPr>
        <sz val="10"/>
        <color indexed="8"/>
        <rFont val="Calibri"/>
        <family val="2"/>
      </rPr>
      <t xml:space="preserve"> je Jahr</t>
    </r>
  </si>
  <si>
    <r>
      <t xml:space="preserve">    Selbstkosten der Vorstufe Sk</t>
    </r>
    <r>
      <rPr>
        <vertAlign val="sub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 je Stück</t>
    </r>
  </si>
  <si>
    <r>
      <t xml:space="preserve"> × Input-Stückzahl der Stufe x</t>
    </r>
    <r>
      <rPr>
        <vertAlign val="subscript"/>
        <sz val="10"/>
        <color indexed="8"/>
        <rFont val="Calibri"/>
        <family val="2"/>
      </rPr>
      <t>Input 1</t>
    </r>
    <r>
      <rPr>
        <sz val="10"/>
        <color indexed="8"/>
        <rFont val="Calibri"/>
        <family val="2"/>
      </rPr>
      <t xml:space="preserve"> je Jahr</t>
    </r>
  </si>
  <si>
    <r>
      <t xml:space="preserve"> + Kosten der Stufe K</t>
    </r>
    <r>
      <rPr>
        <vertAlign val="sub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je Jahr</t>
    </r>
  </si>
  <si>
    <r>
      <t xml:space="preserve"> /  Output-Stückzahl der Stufe x</t>
    </r>
    <r>
      <rPr>
        <vertAlign val="subscript"/>
        <sz val="10"/>
        <color indexed="8"/>
        <rFont val="Calibri"/>
        <family val="2"/>
      </rPr>
      <t>Output 1</t>
    </r>
    <r>
      <rPr>
        <sz val="10"/>
        <color indexed="8"/>
        <rFont val="Calibri"/>
        <family val="2"/>
      </rPr>
      <t xml:space="preserve"> je Jahr</t>
    </r>
  </si>
  <si>
    <r>
      <t xml:space="preserve"> = Selbstkosten nach der Stufe Sk</t>
    </r>
    <r>
      <rPr>
        <b/>
        <vertAlign val="sub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 xml:space="preserve"> je Stück</t>
    </r>
  </si>
  <si>
    <r>
      <t xml:space="preserve">    Bestandsveränderung = x</t>
    </r>
    <r>
      <rPr>
        <vertAlign val="subscript"/>
        <sz val="10"/>
        <color indexed="8"/>
        <rFont val="Calibri"/>
        <family val="2"/>
      </rPr>
      <t>Input 2</t>
    </r>
    <r>
      <rPr>
        <sz val="10"/>
        <color indexed="8"/>
        <rFont val="Calibri"/>
        <family val="2"/>
      </rPr>
      <t xml:space="preserve"> – x</t>
    </r>
    <r>
      <rPr>
        <vertAlign val="subscript"/>
        <sz val="10"/>
        <color indexed="8"/>
        <rFont val="Calibri"/>
        <family val="2"/>
      </rPr>
      <t>Output 1</t>
    </r>
  </si>
  <si>
    <r>
      <t xml:space="preserve"> × Selbstkosten der Vorstufe Sk</t>
    </r>
    <r>
      <rPr>
        <vertAlign val="sub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je Stück</t>
    </r>
  </si>
  <si>
    <r>
      <t xml:space="preserve">    Selbstkosten der Vorstufe Sk</t>
    </r>
    <r>
      <rPr>
        <vertAlign val="sub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je Stück</t>
    </r>
  </si>
  <si>
    <r>
      <t xml:space="preserve"> × Input-Stückzahl der Stufe x</t>
    </r>
    <r>
      <rPr>
        <vertAlign val="subscript"/>
        <sz val="10"/>
        <color indexed="8"/>
        <rFont val="Calibri"/>
        <family val="2"/>
      </rPr>
      <t>Input 2</t>
    </r>
    <r>
      <rPr>
        <sz val="10"/>
        <color indexed="8"/>
        <rFont val="Calibri"/>
        <family val="2"/>
      </rPr>
      <t xml:space="preserve"> je Jahr</t>
    </r>
  </si>
  <si>
    <r>
      <t xml:space="preserve"> + Kosten der Stufe K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je Jahr</t>
    </r>
  </si>
  <si>
    <r>
      <t xml:space="preserve"> /  Output-Stückzahl der Stufe x</t>
    </r>
    <r>
      <rPr>
        <vertAlign val="subscript"/>
        <sz val="10"/>
        <color indexed="8"/>
        <rFont val="Calibri"/>
        <family val="2"/>
      </rPr>
      <t>Output 2</t>
    </r>
    <r>
      <rPr>
        <sz val="10"/>
        <color indexed="8"/>
        <rFont val="Calibri"/>
        <family val="2"/>
      </rPr>
      <t xml:space="preserve"> je Jahr</t>
    </r>
  </si>
  <si>
    <r>
      <t xml:space="preserve"> = Selbstkosten nach der Stufe Sk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 je Stück</t>
    </r>
  </si>
  <si>
    <r>
      <t xml:space="preserve">    Bestandsveränderung = x</t>
    </r>
    <r>
      <rPr>
        <vertAlign val="subscript"/>
        <sz val="10"/>
        <color indexed="8"/>
        <rFont val="Calibri"/>
        <family val="2"/>
      </rPr>
      <t>Input 3</t>
    </r>
    <r>
      <rPr>
        <sz val="10"/>
        <color indexed="8"/>
        <rFont val="Calibri"/>
        <family val="2"/>
      </rPr>
      <t xml:space="preserve"> – x</t>
    </r>
    <r>
      <rPr>
        <vertAlign val="subscript"/>
        <sz val="10"/>
        <color indexed="8"/>
        <rFont val="Calibri"/>
        <family val="2"/>
      </rPr>
      <t>Output 2</t>
    </r>
  </si>
  <si>
    <r>
      <t xml:space="preserve"> × Selbstkosten Vorstufe Sk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je Stück</t>
    </r>
  </si>
  <si>
    <r>
      <t xml:space="preserve">    Selbstkosten der Vorstufe Sk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je Stück</t>
    </r>
  </si>
  <si>
    <r>
      <t xml:space="preserve"> × Input-Stückzahl der Stufe x</t>
    </r>
    <r>
      <rPr>
        <vertAlign val="subscript"/>
        <sz val="10"/>
        <color indexed="8"/>
        <rFont val="Calibri"/>
        <family val="2"/>
      </rPr>
      <t>Input 3</t>
    </r>
    <r>
      <rPr>
        <sz val="10"/>
        <color indexed="8"/>
        <rFont val="Calibri"/>
        <family val="2"/>
      </rPr>
      <t xml:space="preserve"> je Jahr</t>
    </r>
  </si>
  <si>
    <r>
      <t xml:space="preserve"> + Kosten der Stufe K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je Jahr</t>
    </r>
  </si>
  <si>
    <r>
      <t xml:space="preserve"> /  Output-Stückzahl der Stufe x</t>
    </r>
    <r>
      <rPr>
        <vertAlign val="subscript"/>
        <sz val="10"/>
        <color indexed="8"/>
        <rFont val="Calibri"/>
        <family val="2"/>
      </rPr>
      <t>Output 3</t>
    </r>
    <r>
      <rPr>
        <sz val="10"/>
        <color indexed="8"/>
        <rFont val="Calibri"/>
        <family val="2"/>
      </rPr>
      <t xml:space="preserve"> je Jahr</t>
    </r>
  </si>
  <si>
    <r>
      <t xml:space="preserve">    Kosten K</t>
    </r>
    <r>
      <rPr>
        <vertAlign val="sub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je Jahr</t>
    </r>
  </si>
  <si>
    <r>
      <t xml:space="preserve"> ×  Äquivalenzziffern Äz</t>
    </r>
    <r>
      <rPr>
        <vertAlign val="subscript"/>
        <sz val="10"/>
        <color indexed="8"/>
        <rFont val="Calibri"/>
        <family val="2"/>
      </rPr>
      <t>1</t>
    </r>
  </si>
  <si>
    <r>
      <t xml:space="preserve"> = Selbstkosten Sk</t>
    </r>
    <r>
      <rPr>
        <b/>
        <vertAlign val="sub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 xml:space="preserve"> je Stück</t>
    </r>
  </si>
  <si>
    <r>
      <t xml:space="preserve">    Kosten K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je Jahr</t>
    </r>
  </si>
  <si>
    <r>
      <t xml:space="preserve"> ×  Äquivalenzziffern Äz</t>
    </r>
    <r>
      <rPr>
        <vertAlign val="subscript"/>
        <sz val="10"/>
        <color indexed="8"/>
        <rFont val="Calibri"/>
        <family val="2"/>
      </rPr>
      <t>2</t>
    </r>
  </si>
  <si>
    <r>
      <t xml:space="preserve"> = Selbstkosten Sk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 je Stück</t>
    </r>
  </si>
  <si>
    <r>
      <t xml:space="preserve">    Selbstkosten Sk</t>
    </r>
    <r>
      <rPr>
        <vertAlign val="sub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je Stück</t>
    </r>
  </si>
  <si>
    <r>
      <t xml:space="preserve"> + Selbstkosten Sk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je Stück</t>
    </r>
  </si>
  <si>
    <t>Tab. 11-1</t>
  </si>
  <si>
    <t>Tab. 11-2</t>
  </si>
  <si>
    <t>Tab. 10-2</t>
  </si>
  <si>
    <t>0001 (in T€)</t>
  </si>
  <si>
    <t>Betriebsnotwendiges Vermögen [T€]</t>
  </si>
  <si>
    <t>Betriebsnotw. Vermögen</t>
  </si>
  <si>
    <t>Einstufige Divisionskalkulation</t>
  </si>
  <si>
    <t xml:space="preserve">    Gesamtkosten K der Periode</t>
  </si>
  <si>
    <t xml:space="preserve">    Produktions- und Absatzstückzahl x der Periode</t>
  </si>
  <si>
    <t xml:space="preserve"> /  Summe Produktions- und Absatzstückzahl der Periode</t>
  </si>
  <si>
    <t xml:space="preserve"> = Verrechnungssatz Vs je Stück</t>
  </si>
  <si>
    <r>
      <t xml:space="preserve"> </t>
    </r>
    <r>
      <rPr>
        <sz val="10"/>
        <color indexed="8"/>
        <rFont val="Calibri"/>
        <family val="2"/>
      </rPr>
      <t>× 1</t>
    </r>
  </si>
  <si>
    <t>Innerbetriebliche Leistungsverrechnung</t>
  </si>
  <si>
    <t>Betriebsabrechnungsbogen</t>
  </si>
  <si>
    <t>Kostenarten</t>
  </si>
  <si>
    <t>Tab. 11-4</t>
  </si>
  <si>
    <t>Tab. 11-3</t>
  </si>
  <si>
    <t>Einstufige Äquivalenzziffernkalkulation</t>
  </si>
  <si>
    <t>Tab. 11-5</t>
  </si>
  <si>
    <t>Ermittlung der Zuschlagssätze</t>
  </si>
  <si>
    <t>Tab. 11-6</t>
  </si>
  <si>
    <t>Materialgemeinkosten MGK je Jahr</t>
  </si>
  <si>
    <t>Produktionstückzahl je Jahr</t>
  </si>
  <si>
    <t>Materialeinzelkosten MEK je Jahr</t>
  </si>
  <si>
    <t>Summer der Materialeinzelkosten MEk je Jahr</t>
  </si>
  <si>
    <t>ZsMGK = MGK / MEK</t>
  </si>
  <si>
    <t>Tab. 11-7</t>
  </si>
  <si>
    <t>Zuschlagskalkulation für die einzelnen Produkte</t>
  </si>
  <si>
    <t>Maschinenstundensatzrechnung</t>
  </si>
  <si>
    <t>Ergänzung: Zweistufige Divisionskalkulation</t>
  </si>
  <si>
    <t>Ergänzung: Mehrstufige Divisionskalkulation</t>
  </si>
  <si>
    <t>Ergänzung: Mehrstufige Äquivalenzziffernkalkulation</t>
  </si>
  <si>
    <t>Ergänzung: Summarische Zuschlagskalkulation</t>
  </si>
  <si>
    <t>Ergänzung: Handelskalkulation</t>
  </si>
  <si>
    <t>Ergänzung: Gesamtkostenverfahren</t>
  </si>
  <si>
    <t>Ergänzung: Umsatzkostenverfahren</t>
  </si>
  <si>
    <t xml:space="preserve">    Materialgemeinkostenzuschlagssatz MGkZs</t>
  </si>
  <si>
    <t xml:space="preserve"> + Materialgemeinkosten MGk = MEk · MGkZs</t>
  </si>
  <si>
    <t xml:space="preserve">    Fertigungsgemeinkostenzuschlagssatz FGkZs</t>
  </si>
  <si>
    <t xml:space="preserve"> + Fertigungsgemeinkosten FGk = FEk · FGkZs</t>
  </si>
  <si>
    <t xml:space="preserve">    Verwaltungsgemeinkostenzuschlagssatz VwGkZs</t>
  </si>
  <si>
    <t xml:space="preserve"> + Verwaltungsgemeinkosten VwGk = Hk · VwGkZs</t>
  </si>
  <si>
    <t xml:space="preserve">    Vertriebsgemeinkostenzuschlagssatz VtGkZs</t>
  </si>
  <si>
    <t xml:space="preserve"> + Vertriebsgemeinkosten VtGk = Hk · VtGkZs</t>
  </si>
  <si>
    <t>Fertigungsgemeinkosten FGK je Jahr</t>
  </si>
  <si>
    <t>Summe der Fertigungseinzelkosten FEk je Jahr</t>
  </si>
  <si>
    <t>ZsFGK = FGK / FEK</t>
  </si>
  <si>
    <t>Verwaltungsgemeinkosten VwGK je Jahr</t>
  </si>
  <si>
    <t>Herstellkosten HK</t>
  </si>
  <si>
    <t>Vertriebsgemeinkosten VtGK je Jahr</t>
  </si>
  <si>
    <t>ZsVwGk = VwGK / HK</t>
  </si>
  <si>
    <t>ZsVtGk = VtGK / 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</si>
</sst>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%"/>
    <numFmt numFmtId="165" formatCode="#,##0.0"/>
    <numFmt numFmtId="166" formatCode="#,##0.00\ &quot;€&quot;"/>
    <numFmt numFmtId="167" formatCode="#,##0\ &quot;€&quot;"/>
    <numFmt numFmtId="168" formatCode="#,##0\ &quot;Mitarbeiter&quot;"/>
    <numFmt numFmtId="169" formatCode="#,##0\ &quot;Stück&quot;"/>
    <numFmt numFmtId="170" formatCode="#,##0\ &quot;T€&quot;"/>
    <numFmt numFmtId="171" formatCode="#,##0\ &quot;h&quot;"/>
    <numFmt numFmtId="172" formatCode="#,##0.00\ &quot;€/h&quot;"/>
    <numFmt numFmtId="173" formatCode="#,##0\ &quot;h/Stück&quot;"/>
    <numFmt numFmtId="174" formatCode="#,##0.00\ &quot;€/Stück&quot;"/>
  </numFmts>
  <fonts count="20" x14ac:knownFonts="1">
    <font>
      <sz val="14"/>
      <name val="Arial"/>
      <family val="2"/>
    </font>
    <font>
      <b/>
      <sz val="24"/>
      <name val="Arial"/>
      <family val="2"/>
    </font>
    <font>
      <sz val="14"/>
      <color indexed="57"/>
      <name val="Arial"/>
      <family val="2"/>
    </font>
    <font>
      <sz val="14"/>
      <color indexed="11"/>
      <name val="Arial"/>
      <family val="2"/>
    </font>
    <font>
      <sz val="14"/>
      <color indexed="55"/>
      <name val="Arial"/>
      <family val="2"/>
    </font>
    <font>
      <sz val="8"/>
      <name val="Arial"/>
      <family val="2"/>
    </font>
    <font>
      <sz val="14"/>
      <color indexed="4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/>
      <top style="medium">
        <color theme="3"/>
      </top>
      <bottom style="medium">
        <color theme="3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" fontId="6" fillId="0" borderId="1" applyNumberFormat="0" applyFill="0" applyBorder="0" applyAlignment="0">
      <alignment wrapText="1"/>
      <protection locked="0"/>
    </xf>
    <xf numFmtId="3" fontId="2" fillId="0" borderId="1" applyNumberFormat="0" applyFill="0" applyBorder="0" applyAlignment="0">
      <alignment wrapText="1"/>
      <protection locked="0"/>
    </xf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1" fillId="0" borderId="0">
      <alignment vertical="top"/>
    </xf>
  </cellStyleXfs>
  <cellXfs count="83">
    <xf numFmtId="0" fontId="0" fillId="0" borderId="0" xfId="0"/>
    <xf numFmtId="0" fontId="12" fillId="2" borderId="0" xfId="6" applyFont="1" applyFill="1" applyAlignment="1" applyProtection="1">
      <alignment vertical="top"/>
    </xf>
    <xf numFmtId="0" fontId="13" fillId="2" borderId="0" xfId="6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0" xfId="6" applyFont="1" applyAlignment="1" applyProtection="1">
      <alignment vertical="top"/>
    </xf>
    <xf numFmtId="0" fontId="15" fillId="0" borderId="0" xfId="6" applyFont="1" applyFill="1" applyAlignment="1" applyProtection="1">
      <alignment vertical="top"/>
    </xf>
    <xf numFmtId="0" fontId="14" fillId="0" borderId="0" xfId="0" applyFont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16" fillId="0" borderId="0" xfId="6" applyFont="1" applyAlignment="1" applyProtection="1">
      <alignment vertical="center"/>
    </xf>
    <xf numFmtId="0" fontId="16" fillId="0" borderId="0" xfId="6" applyFont="1" applyFill="1" applyAlignment="1" applyProtection="1">
      <alignment vertical="center"/>
    </xf>
    <xf numFmtId="3" fontId="14" fillId="0" borderId="0" xfId="0" applyNumberFormat="1" applyFont="1" applyAlignment="1" applyProtection="1">
      <alignment vertical="center"/>
    </xf>
    <xf numFmtId="0" fontId="16" fillId="0" borderId="2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horizontal="right" vertical="center"/>
    </xf>
    <xf numFmtId="169" fontId="17" fillId="0" borderId="2" xfId="2" applyNumberFormat="1" applyFont="1" applyFill="1" applyBorder="1" applyAlignment="1" applyProtection="1">
      <alignment vertical="center"/>
    </xf>
    <xf numFmtId="169" fontId="16" fillId="0" borderId="2" xfId="0" applyNumberFormat="1" applyFont="1" applyFill="1" applyBorder="1" applyAlignment="1" applyProtection="1">
      <alignment vertical="center"/>
    </xf>
    <xf numFmtId="168" fontId="17" fillId="0" borderId="2" xfId="0" applyNumberFormat="1" applyFont="1" applyFill="1" applyBorder="1" applyAlignment="1" applyProtection="1">
      <alignment vertical="center"/>
    </xf>
    <xf numFmtId="168" fontId="16" fillId="0" borderId="2" xfId="0" applyNumberFormat="1" applyFont="1" applyFill="1" applyBorder="1" applyAlignment="1" applyProtection="1">
      <alignment vertical="center"/>
    </xf>
    <xf numFmtId="49" fontId="16" fillId="0" borderId="2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3" fontId="16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/>
    </xf>
    <xf numFmtId="0" fontId="18" fillId="0" borderId="0" xfId="0" applyFont="1"/>
    <xf numFmtId="166" fontId="14" fillId="0" borderId="0" xfId="0" applyNumberFormat="1" applyFont="1" applyFill="1" applyAlignment="1" applyProtection="1">
      <alignment vertical="center" wrapText="1"/>
    </xf>
    <xf numFmtId="170" fontId="14" fillId="0" borderId="0" xfId="0" applyNumberFormat="1" applyFont="1" applyFill="1" applyAlignment="1" applyProtection="1">
      <alignment vertical="center" wrapText="1"/>
    </xf>
    <xf numFmtId="0" fontId="19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6" applyFont="1" applyFill="1" applyAlignment="1" applyProtection="1">
      <alignment vertical="center"/>
    </xf>
    <xf numFmtId="0" fontId="15" fillId="0" borderId="0" xfId="6" applyFont="1" applyFill="1" applyBorder="1" applyAlignment="1" applyProtection="1">
      <alignment vertical="top"/>
    </xf>
    <xf numFmtId="0" fontId="16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wrapText="1"/>
    </xf>
    <xf numFmtId="3" fontId="16" fillId="0" borderId="2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15" fillId="0" borderId="0" xfId="6" applyFont="1" applyFill="1" applyBorder="1" applyAlignment="1" applyProtection="1">
      <alignment horizontal="right" vertical="top"/>
    </xf>
    <xf numFmtId="0" fontId="16" fillId="0" borderId="2" xfId="0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 applyProtection="1">
      <alignment horizontal="right" vertical="center" wrapText="1"/>
    </xf>
    <xf numFmtId="3" fontId="14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16" fillId="0" borderId="2" xfId="0" applyNumberFormat="1" applyFont="1" applyFill="1" applyBorder="1" applyAlignment="1" applyProtection="1">
      <alignment horizontal="right" vertical="center" wrapText="1"/>
    </xf>
    <xf numFmtId="3" fontId="16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0" xfId="0" applyNumberFormat="1" applyFont="1" applyFill="1" applyBorder="1" applyAlignment="1" applyProtection="1">
      <alignment horizontal="right" vertical="center" wrapText="1"/>
    </xf>
    <xf numFmtId="0" fontId="12" fillId="0" borderId="0" xfId="6" applyFont="1" applyFill="1" applyAlignment="1" applyProtection="1">
      <alignment vertical="center"/>
    </xf>
    <xf numFmtId="170" fontId="14" fillId="0" borderId="2" xfId="0" applyNumberFormat="1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9" fontId="14" fillId="0" borderId="2" xfId="0" applyNumberFormat="1" applyFont="1" applyFill="1" applyBorder="1" applyAlignment="1" applyProtection="1">
      <alignment vertical="center" wrapText="1"/>
    </xf>
    <xf numFmtId="9" fontId="14" fillId="0" borderId="2" xfId="2" applyNumberFormat="1" applyFont="1" applyFill="1" applyBorder="1" applyAlignment="1" applyProtection="1">
      <alignment vertical="center" wrapText="1"/>
    </xf>
    <xf numFmtId="3" fontId="14" fillId="0" borderId="2" xfId="0" applyNumberFormat="1" applyFont="1" applyFill="1" applyBorder="1" applyAlignment="1" applyProtection="1">
      <alignment vertical="center" wrapText="1"/>
    </xf>
    <xf numFmtId="3" fontId="16" fillId="0" borderId="2" xfId="2" applyNumberFormat="1" applyFont="1" applyFill="1" applyBorder="1" applyAlignment="1" applyProtection="1">
      <alignment vertical="center" wrapText="1"/>
    </xf>
    <xf numFmtId="3" fontId="14" fillId="3" borderId="2" xfId="0" applyNumberFormat="1" applyFont="1" applyFill="1" applyBorder="1" applyAlignment="1" applyProtection="1">
      <alignment vertical="center" wrapText="1"/>
    </xf>
    <xf numFmtId="3" fontId="16" fillId="3" borderId="2" xfId="0" applyNumberFormat="1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8" fillId="0" borderId="2" xfId="0" applyFont="1" applyFill="1" applyBorder="1"/>
    <xf numFmtId="170" fontId="14" fillId="0" borderId="2" xfId="0" applyNumberFormat="1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vertical="center"/>
    </xf>
    <xf numFmtId="169" fontId="14" fillId="0" borderId="2" xfId="0" applyNumberFormat="1" applyFont="1" applyFill="1" applyBorder="1" applyAlignment="1" applyProtection="1">
      <alignment vertical="center" wrapText="1"/>
    </xf>
    <xf numFmtId="174" fontId="16" fillId="0" borderId="2" xfId="0" applyNumberFormat="1" applyFont="1" applyFill="1" applyBorder="1" applyAlignment="1" applyProtection="1">
      <alignment vertical="center" wrapText="1"/>
    </xf>
    <xf numFmtId="0" fontId="16" fillId="0" borderId="6" xfId="0" applyFont="1" applyFill="1" applyBorder="1" applyAlignment="1" applyProtection="1">
      <alignment vertical="center" wrapText="1"/>
    </xf>
    <xf numFmtId="3" fontId="16" fillId="0" borderId="6" xfId="0" applyNumberFormat="1" applyFont="1" applyFill="1" applyBorder="1" applyAlignment="1" applyProtection="1">
      <alignment horizontal="right" vertical="center" wrapText="1"/>
    </xf>
    <xf numFmtId="165" fontId="14" fillId="0" borderId="2" xfId="0" applyNumberFormat="1" applyFont="1" applyFill="1" applyBorder="1" applyAlignment="1" applyProtection="1">
      <alignment vertical="center" wrapText="1"/>
    </xf>
    <xf numFmtId="169" fontId="16" fillId="0" borderId="2" xfId="0" applyNumberFormat="1" applyFont="1" applyFill="1" applyBorder="1" applyAlignment="1" applyProtection="1">
      <alignment vertical="center" wrapText="1"/>
    </xf>
    <xf numFmtId="166" fontId="14" fillId="0" borderId="2" xfId="0" applyNumberFormat="1" applyFont="1" applyFill="1" applyBorder="1" applyAlignment="1" applyProtection="1">
      <alignment vertical="center" wrapText="1"/>
    </xf>
    <xf numFmtId="170" fontId="16" fillId="0" borderId="2" xfId="0" applyNumberFormat="1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164" fontId="16" fillId="0" borderId="2" xfId="1" applyNumberFormat="1" applyFont="1" applyFill="1" applyBorder="1" applyAlignment="1" applyProtection="1">
      <alignment vertical="center" wrapText="1"/>
    </xf>
    <xf numFmtId="0" fontId="14" fillId="0" borderId="2" xfId="2" applyNumberFormat="1" applyFont="1" applyFill="1" applyBorder="1" applyAlignment="1" applyProtection="1">
      <alignment vertical="center" wrapText="1"/>
    </xf>
    <xf numFmtId="10" fontId="14" fillId="0" borderId="2" xfId="0" applyNumberFormat="1" applyFont="1" applyFill="1" applyBorder="1" applyAlignment="1" applyProtection="1">
      <alignment vertical="center" wrapText="1"/>
    </xf>
    <xf numFmtId="166" fontId="16" fillId="0" borderId="2" xfId="0" applyNumberFormat="1" applyFont="1" applyFill="1" applyBorder="1" applyAlignment="1" applyProtection="1">
      <alignment vertical="center" wrapText="1"/>
    </xf>
    <xf numFmtId="167" fontId="14" fillId="0" borderId="2" xfId="0" applyNumberFormat="1" applyFont="1" applyFill="1" applyBorder="1" applyAlignment="1" applyProtection="1">
      <alignment vertical="center" wrapText="1"/>
    </xf>
    <xf numFmtId="173" fontId="14" fillId="0" borderId="2" xfId="0" applyNumberFormat="1" applyFont="1" applyFill="1" applyBorder="1" applyAlignment="1" applyProtection="1">
      <alignment vertical="center" wrapText="1"/>
    </xf>
    <xf numFmtId="171" fontId="14" fillId="0" borderId="2" xfId="0" applyNumberFormat="1" applyFont="1" applyFill="1" applyBorder="1" applyAlignment="1" applyProtection="1">
      <alignment vertical="center" wrapText="1"/>
    </xf>
    <xf numFmtId="172" fontId="16" fillId="0" borderId="2" xfId="0" applyNumberFormat="1" applyFont="1" applyFill="1" applyBorder="1" applyAlignment="1" applyProtection="1">
      <alignment vertical="center" wrapText="1"/>
    </xf>
    <xf numFmtId="172" fontId="14" fillId="0" borderId="2" xfId="0" applyNumberFormat="1" applyFont="1" applyFill="1" applyBorder="1" applyAlignment="1" applyProtection="1">
      <alignment vertical="center" wrapText="1"/>
    </xf>
    <xf numFmtId="174" fontId="14" fillId="0" borderId="2" xfId="0" applyNumberFormat="1" applyFont="1" applyFill="1" applyBorder="1" applyAlignment="1" applyProtection="1">
      <alignment vertical="center" wrapText="1"/>
    </xf>
    <xf numFmtId="10" fontId="16" fillId="0" borderId="2" xfId="0" applyNumberFormat="1" applyFont="1" applyFill="1" applyBorder="1" applyAlignment="1" applyProtection="1">
      <alignment vertical="center" wrapText="1"/>
    </xf>
    <xf numFmtId="10" fontId="14" fillId="0" borderId="2" xfId="2" applyNumberFormat="1" applyFont="1" applyFill="1" applyBorder="1" applyAlignment="1" applyProtection="1">
      <alignment vertical="center" wrapText="1"/>
    </xf>
    <xf numFmtId="170" fontId="16" fillId="0" borderId="2" xfId="0" applyNumberFormat="1" applyFont="1" applyFill="1" applyBorder="1" applyAlignment="1" applyProtection="1">
      <alignment vertical="center"/>
    </xf>
    <xf numFmtId="164" fontId="14" fillId="0" borderId="2" xfId="1" applyNumberFormat="1" applyFont="1" applyFill="1" applyBorder="1" applyAlignment="1" applyProtection="1">
      <alignment vertical="center" wrapText="1"/>
    </xf>
  </cellXfs>
  <cellStyles count="7">
    <cellStyle name="Ausgabe" xfId="1" builtinId="21" customBuiltin="1"/>
    <cellStyle name="Eingabe" xfId="2" builtinId="20" customBuiltin="1"/>
    <cellStyle name="Eingabe 2" xfId="3"/>
    <cellStyle name="Lösung" xfId="4"/>
    <cellStyle name="Lösung 2" xfId="5"/>
    <cellStyle name="Standard" xfId="0" builtinId="0"/>
    <cellStyle name="Überschrift 1" xfId="6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A74B8"/>
      <rgbColor rgb="00FFFF00"/>
      <rgbColor rgb="00FF00FF"/>
      <rgbColor rgb="0000FFFF"/>
      <rgbColor rgb="00800000"/>
      <rgbColor rgb="00008000"/>
      <rgbColor rgb="00295AA9"/>
      <rgbColor rgb="00808000"/>
      <rgbColor rgb="00800080"/>
      <rgbColor rgb="00008080"/>
      <rgbColor rgb="00E6E6E6"/>
      <rgbColor rgb="00808080"/>
      <rgbColor rgb="008491C9"/>
      <rgbColor rgb="00808080"/>
      <rgbColor rgb="00295AA9"/>
      <rgbColor rgb="001A1A1A"/>
      <rgbColor rgb="00E6E6E6"/>
      <rgbColor rgb="00E6E6E6"/>
      <rgbColor rgb="00E6E6E6"/>
      <rgbColor rgb="00E6E6E6"/>
      <rgbColor rgb="008491C9"/>
      <rgbColor rgb="00808080"/>
      <rgbColor rgb="00295AA9"/>
      <rgbColor rgb="001A1A1A"/>
      <rgbColor rgb="00B2B2B2"/>
      <rgbColor rgb="00B2B2B2"/>
      <rgbColor rgb="00B2B2B2"/>
      <rgbColor rgb="00B2B2B2"/>
      <rgbColor rgb="00AFB6DC"/>
      <rgbColor rgb="00CCFFFF"/>
      <rgbColor rgb="00CCFFCC"/>
      <rgbColor rgb="00FFFF99"/>
      <rgbColor rgb="00E0E3F2"/>
      <rgbColor rgb="00FF99CC"/>
      <rgbColor rgb="00CC99FF"/>
      <rgbColor rgb="00FFCC99"/>
      <rgbColor rgb="008491C9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094FA3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BWL_Skript">
      <a:dk1>
        <a:srgbClr val="000000"/>
      </a:dk1>
      <a:lt1>
        <a:srgbClr val="FFFFFF"/>
      </a:lt1>
      <a:dk2>
        <a:srgbClr val="0080C8"/>
      </a:dk2>
      <a:lt2>
        <a:srgbClr val="D40032"/>
      </a:lt2>
      <a:accent1>
        <a:srgbClr val="F2F2F2"/>
      </a:accent1>
      <a:accent2>
        <a:srgbClr val="F2F2F2"/>
      </a:accent2>
      <a:accent3>
        <a:srgbClr val="F2F2F2"/>
      </a:accent3>
      <a:accent4>
        <a:srgbClr val="F2F2F2"/>
      </a:accent4>
      <a:accent5>
        <a:srgbClr val="F2F2F2"/>
      </a:accent5>
      <a:accent6>
        <a:srgbClr val="F2F2F2"/>
      </a:accent6>
      <a:hlink>
        <a:srgbClr val="45BCFF"/>
      </a:hlink>
      <a:folHlink>
        <a:srgbClr val="45BC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/>
  </sheetViews>
  <sheetFormatPr baseColWidth="10" defaultColWidth="10.921875" defaultRowHeight="13.8" x14ac:dyDescent="0.3"/>
  <cols>
    <col min="1" max="1" width="2" style="3" customWidth="1"/>
    <col min="2" max="2" width="2.4609375" style="3" customWidth="1"/>
    <col min="3" max="3" width="9.15234375" style="3" customWidth="1"/>
    <col min="4" max="6" width="10.921875" style="3" customWidth="1"/>
    <col min="7" max="16384" width="10.921875" style="3"/>
  </cols>
  <sheetData>
    <row r="1" spans="2:6" ht="16.5" customHeight="1" x14ac:dyDescent="0.3"/>
    <row r="2" spans="2:6" s="4" customFormat="1" ht="18.600000000000001" thickBot="1" x14ac:dyDescent="0.35">
      <c r="B2" s="1" t="s">
        <v>240</v>
      </c>
      <c r="C2" s="1"/>
      <c r="D2" s="5"/>
      <c r="E2" s="5"/>
      <c r="F2" s="5"/>
    </row>
    <row r="3" spans="2:6" ht="16.5" customHeight="1" thickBot="1" x14ac:dyDescent="0.35">
      <c r="C3" s="12" t="s">
        <v>89</v>
      </c>
      <c r="D3" s="13" t="s">
        <v>59</v>
      </c>
      <c r="E3" s="13" t="s">
        <v>60</v>
      </c>
      <c r="F3" s="13" t="s">
        <v>50</v>
      </c>
    </row>
    <row r="4" spans="2:6" ht="16.5" customHeight="1" thickBot="1" x14ac:dyDescent="0.35">
      <c r="C4" s="18" t="s">
        <v>248</v>
      </c>
      <c r="D4" s="14">
        <v>85000</v>
      </c>
      <c r="E4" s="14">
        <v>40000</v>
      </c>
      <c r="F4" s="15">
        <f>D4+E4</f>
        <v>125000</v>
      </c>
    </row>
    <row r="5" spans="2:6" ht="16.5" customHeight="1" thickBot="1" x14ac:dyDescent="0.35">
      <c r="C5" s="18" t="s">
        <v>249</v>
      </c>
      <c r="D5" s="14">
        <v>95000</v>
      </c>
      <c r="E5" s="14">
        <v>65000</v>
      </c>
      <c r="F5" s="15">
        <f>D5+E5</f>
        <v>160000</v>
      </c>
    </row>
    <row r="6" spans="2:6" ht="16.5" customHeight="1" thickBot="1" x14ac:dyDescent="0.35">
      <c r="C6" s="18" t="s">
        <v>250</v>
      </c>
      <c r="D6" s="14">
        <v>100000</v>
      </c>
      <c r="E6" s="14">
        <v>75000</v>
      </c>
      <c r="F6" s="15">
        <f>D6+E6</f>
        <v>175000</v>
      </c>
    </row>
    <row r="7" spans="2:6" s="6" customFormat="1" ht="16.5" customHeight="1" x14ac:dyDescent="0.3">
      <c r="C7" s="7"/>
      <c r="D7" s="8"/>
    </row>
    <row r="8" spans="2:6" ht="16.5" customHeight="1" x14ac:dyDescent="0.3"/>
    <row r="9" spans="2:6" s="9" customFormat="1" ht="18.600000000000001" thickBot="1" x14ac:dyDescent="0.35">
      <c r="B9" s="1" t="s">
        <v>247</v>
      </c>
      <c r="C9" s="2"/>
      <c r="D9" s="10"/>
      <c r="E9" s="10"/>
      <c r="F9" s="10"/>
    </row>
    <row r="10" spans="2:6" ht="16.5" customHeight="1" thickBot="1" x14ac:dyDescent="0.35">
      <c r="C10" s="12" t="s">
        <v>89</v>
      </c>
      <c r="D10" s="13" t="s">
        <v>87</v>
      </c>
      <c r="E10" s="13" t="s">
        <v>88</v>
      </c>
      <c r="F10" s="13" t="s">
        <v>50</v>
      </c>
    </row>
    <row r="11" spans="2:6" ht="16.5" customHeight="1" thickBot="1" x14ac:dyDescent="0.35">
      <c r="C11" s="18" t="s">
        <v>248</v>
      </c>
      <c r="D11" s="16">
        <f>'Kapitel 11 Fallbeispiel'!E21</f>
        <v>1398</v>
      </c>
      <c r="E11" s="16">
        <f>'Kapitel 11 Fallbeispiel'!E23</f>
        <v>1290</v>
      </c>
      <c r="F11" s="17">
        <f>D11+E11</f>
        <v>2688</v>
      </c>
    </row>
    <row r="12" spans="2:6" ht="16.5" customHeight="1" thickBot="1" x14ac:dyDescent="0.35">
      <c r="C12" s="18" t="s">
        <v>249</v>
      </c>
      <c r="D12" s="16">
        <f>IFERROR(#REF!,1463)</f>
        <v>1463</v>
      </c>
      <c r="E12" s="16">
        <f>IFERROR(#REF!,1350)</f>
        <v>1350</v>
      </c>
      <c r="F12" s="17">
        <f>D12+E12</f>
        <v>2813</v>
      </c>
    </row>
    <row r="13" spans="2:6" s="6" customFormat="1" ht="16.5" customHeight="1" x14ac:dyDescent="0.3">
      <c r="C13" s="7"/>
      <c r="D13" s="8"/>
    </row>
    <row r="14" spans="2:6" x14ac:dyDescent="0.3">
      <c r="D14" s="11"/>
      <c r="E14" s="11"/>
    </row>
  </sheetData>
  <phoneticPr fontId="5" type="noConversion"/>
  <printOptions horizontalCentered="1"/>
  <pageMargins left="0.59055118110236227" right="0.59055118110236227" top="1.3385826771653544" bottom="0.9055118110236221" header="0.19685039370078741" footer="0.39370078740157483"/>
  <pageSetup paperSize="9" firstPageNumber="524" orientation="portrait" horizontalDpi="0" verticalDpi="0" r:id="rId1"/>
  <headerFooter alignWithMargins="0">
    <oddFooter>&amp;L&amp;6Copyright © 2007 Vahs, D./Schäfer-Kunz, J.: Einführung in die Betriebswirtschaftslehre, 5. Auflage, 2007&amp;R&amp;10 1 Gegenstand der BWL     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59"/>
  <sheetViews>
    <sheetView zoomScaleSheetLayoutView="50" workbookViewId="0"/>
  </sheetViews>
  <sheetFormatPr baseColWidth="10" defaultColWidth="8.69140625" defaultRowHeight="13.8" x14ac:dyDescent="0.3"/>
  <cols>
    <col min="1" max="1" width="2" style="19" customWidth="1"/>
    <col min="2" max="2" width="7.4609375" style="19" bestFit="1" customWidth="1"/>
    <col min="3" max="3" width="47.07421875" style="8" bestFit="1" customWidth="1"/>
    <col min="4" max="4" width="8.69140625" style="36" customWidth="1"/>
    <col min="5" max="6" width="10.53515625" style="19" customWidth="1"/>
    <col min="7" max="16384" width="8.69140625" style="19"/>
  </cols>
  <sheetData>
    <row r="1" spans="2:4" ht="16.5" customHeight="1" x14ac:dyDescent="0.3"/>
    <row r="2" spans="2:4" s="5" customFormat="1" ht="18.600000000000001" thickBot="1" x14ac:dyDescent="0.35">
      <c r="B2" s="1" t="s">
        <v>302</v>
      </c>
      <c r="C2" s="32"/>
      <c r="D2" s="37"/>
    </row>
    <row r="3" spans="2:4" ht="16.5" customHeight="1" thickBot="1" x14ac:dyDescent="0.35">
      <c r="C3" s="33" t="s">
        <v>0</v>
      </c>
      <c r="D3" s="38" t="s">
        <v>303</v>
      </c>
    </row>
    <row r="4" spans="2:4" ht="16.5" customHeight="1" thickBot="1" x14ac:dyDescent="0.35">
      <c r="C4" s="33" t="s">
        <v>24</v>
      </c>
      <c r="D4" s="39"/>
    </row>
    <row r="5" spans="2:4" ht="16.5" customHeight="1" thickBot="1" x14ac:dyDescent="0.35">
      <c r="C5" s="34" t="s">
        <v>27</v>
      </c>
      <c r="D5" s="40">
        <v>65000</v>
      </c>
    </row>
    <row r="6" spans="2:4" ht="16.5" customHeight="1" thickBot="1" x14ac:dyDescent="0.35">
      <c r="C6" s="34" t="s">
        <v>28</v>
      </c>
      <c r="D6" s="40">
        <v>205000</v>
      </c>
    </row>
    <row r="7" spans="2:4" ht="16.5" customHeight="1" thickBot="1" x14ac:dyDescent="0.35">
      <c r="C7" s="34" t="s">
        <v>29</v>
      </c>
      <c r="D7" s="40">
        <v>65000</v>
      </c>
    </row>
    <row r="8" spans="2:4" ht="16.5" customHeight="1" thickBot="1" x14ac:dyDescent="0.35">
      <c r="C8" s="34"/>
      <c r="D8" s="41">
        <f>SUM(D5:D7)</f>
        <v>335000</v>
      </c>
    </row>
    <row r="9" spans="2:4" ht="16.5" customHeight="1" thickBot="1" x14ac:dyDescent="0.35">
      <c r="C9" s="33" t="s">
        <v>25</v>
      </c>
      <c r="D9" s="39"/>
    </row>
    <row r="10" spans="2:4" ht="16.5" customHeight="1" thickBot="1" x14ac:dyDescent="0.35">
      <c r="C10" s="34" t="s">
        <v>30</v>
      </c>
      <c r="D10" s="40">
        <v>60000</v>
      </c>
    </row>
    <row r="11" spans="2:4" ht="16.5" customHeight="1" thickBot="1" x14ac:dyDescent="0.35">
      <c r="C11" s="34" t="s">
        <v>131</v>
      </c>
      <c r="D11" s="40">
        <v>70000</v>
      </c>
    </row>
    <row r="12" spans="2:4" ht="16.5" customHeight="1" thickBot="1" x14ac:dyDescent="0.35">
      <c r="C12" s="34" t="s">
        <v>132</v>
      </c>
      <c r="D12" s="40">
        <v>53000</v>
      </c>
    </row>
    <row r="13" spans="2:4" ht="16.5" customHeight="1" thickBot="1" x14ac:dyDescent="0.35">
      <c r="C13" s="34" t="s">
        <v>36</v>
      </c>
      <c r="D13" s="40">
        <v>80000</v>
      </c>
    </row>
    <row r="14" spans="2:4" ht="16.5" customHeight="1" thickBot="1" x14ac:dyDescent="0.35">
      <c r="C14" s="34" t="s">
        <v>37</v>
      </c>
      <c r="D14" s="40">
        <v>390000</v>
      </c>
    </row>
    <row r="15" spans="2:4" ht="16.5" customHeight="1" thickBot="1" x14ac:dyDescent="0.35">
      <c r="C15" s="34"/>
      <c r="D15" s="41">
        <f>SUM(D10:D14)</f>
        <v>653000</v>
      </c>
    </row>
    <row r="16" spans="2:4" ht="16.5" customHeight="1" thickBot="1" x14ac:dyDescent="0.35">
      <c r="C16" s="33" t="s">
        <v>26</v>
      </c>
      <c r="D16" s="42">
        <v>2000</v>
      </c>
    </row>
    <row r="17" spans="3:4" ht="16.5" customHeight="1" thickBot="1" x14ac:dyDescent="0.35">
      <c r="C17" s="33" t="s">
        <v>4</v>
      </c>
      <c r="D17" s="41">
        <f>D8+D15+D16</f>
        <v>990000</v>
      </c>
    </row>
    <row r="18" spans="3:4" ht="16.5" customHeight="1" thickBot="1" x14ac:dyDescent="0.35">
      <c r="C18" s="62"/>
      <c r="D18" s="63"/>
    </row>
    <row r="19" spans="3:4" ht="16.5" customHeight="1" thickBot="1" x14ac:dyDescent="0.35">
      <c r="C19" s="33" t="s">
        <v>1</v>
      </c>
      <c r="D19" s="38" t="s">
        <v>303</v>
      </c>
    </row>
    <row r="20" spans="3:4" ht="16.5" customHeight="1" thickBot="1" x14ac:dyDescent="0.35">
      <c r="C20" s="33" t="s">
        <v>5</v>
      </c>
      <c r="D20" s="39"/>
    </row>
    <row r="21" spans="3:4" ht="16.5" customHeight="1" thickBot="1" x14ac:dyDescent="0.35">
      <c r="C21" s="34" t="s">
        <v>8</v>
      </c>
      <c r="D21" s="40">
        <v>15000</v>
      </c>
    </row>
    <row r="22" spans="3:4" ht="16.5" customHeight="1" thickBot="1" x14ac:dyDescent="0.35">
      <c r="C22" s="34" t="s">
        <v>31</v>
      </c>
      <c r="D22" s="40">
        <v>40000</v>
      </c>
    </row>
    <row r="23" spans="3:4" ht="16.5" customHeight="1" thickBot="1" x14ac:dyDescent="0.35">
      <c r="C23" s="34" t="s">
        <v>32</v>
      </c>
      <c r="D23" s="40">
        <f>45000-D58</f>
        <v>218000</v>
      </c>
    </row>
    <row r="24" spans="3:4" ht="16.5" customHeight="1" thickBot="1" x14ac:dyDescent="0.35">
      <c r="C24" s="34" t="s">
        <v>33</v>
      </c>
      <c r="D24" s="43">
        <f>D59</f>
        <v>0</v>
      </c>
    </row>
    <row r="25" spans="3:4" ht="16.5" customHeight="1" thickBot="1" x14ac:dyDescent="0.35">
      <c r="C25" s="34"/>
      <c r="D25" s="41">
        <f>SUM(D21:D24)</f>
        <v>273000</v>
      </c>
    </row>
    <row r="26" spans="3:4" ht="16.5" customHeight="1" thickBot="1" x14ac:dyDescent="0.35">
      <c r="C26" s="33" t="s">
        <v>6</v>
      </c>
      <c r="D26" s="39"/>
    </row>
    <row r="27" spans="3:4" ht="16.5" customHeight="1" thickBot="1" x14ac:dyDescent="0.35">
      <c r="C27" s="34" t="s">
        <v>133</v>
      </c>
      <c r="D27" s="40">
        <v>115000</v>
      </c>
    </row>
    <row r="28" spans="3:4" ht="16.5" customHeight="1" thickBot="1" x14ac:dyDescent="0.35">
      <c r="C28" s="34" t="s">
        <v>38</v>
      </c>
      <c r="D28" s="40">
        <v>345000</v>
      </c>
    </row>
    <row r="29" spans="3:4" ht="16.5" customHeight="1" thickBot="1" x14ac:dyDescent="0.35">
      <c r="C29" s="34"/>
      <c r="D29" s="41">
        <f>SUM(D27:D28)</f>
        <v>460000</v>
      </c>
    </row>
    <row r="30" spans="3:4" ht="16.5" customHeight="1" thickBot="1" x14ac:dyDescent="0.35">
      <c r="C30" s="33" t="s">
        <v>7</v>
      </c>
      <c r="D30" s="39"/>
    </row>
    <row r="31" spans="3:4" ht="16.5" customHeight="1" thickBot="1" x14ac:dyDescent="0.35">
      <c r="C31" s="34" t="s">
        <v>34</v>
      </c>
      <c r="D31" s="40">
        <v>150000</v>
      </c>
    </row>
    <row r="32" spans="3:4" ht="16.5" customHeight="1" thickBot="1" x14ac:dyDescent="0.35">
      <c r="C32" s="34" t="s">
        <v>134</v>
      </c>
      <c r="D32" s="40">
        <v>81000</v>
      </c>
    </row>
    <row r="33" spans="2:4" ht="16.5" customHeight="1" thickBot="1" x14ac:dyDescent="0.35">
      <c r="C33" s="34" t="s">
        <v>35</v>
      </c>
      <c r="D33" s="40">
        <v>25000</v>
      </c>
    </row>
    <row r="34" spans="2:4" ht="16.5" customHeight="1" thickBot="1" x14ac:dyDescent="0.35">
      <c r="C34" s="34"/>
      <c r="D34" s="41">
        <f>SUM(D31:D33)</f>
        <v>256000</v>
      </c>
    </row>
    <row r="35" spans="2:4" ht="16.5" customHeight="1" thickBot="1" x14ac:dyDescent="0.35">
      <c r="C35" s="33" t="s">
        <v>23</v>
      </c>
      <c r="D35" s="42">
        <v>1000</v>
      </c>
    </row>
    <row r="36" spans="2:4" ht="16.5" customHeight="1" thickBot="1" x14ac:dyDescent="0.35">
      <c r="C36" s="33" t="s">
        <v>9</v>
      </c>
      <c r="D36" s="41">
        <f>D25+D29+D34+D35</f>
        <v>990000</v>
      </c>
    </row>
    <row r="37" spans="2:4" ht="16.5" customHeight="1" x14ac:dyDescent="0.3">
      <c r="D37" s="44"/>
    </row>
    <row r="38" spans="2:4" ht="16.5" customHeight="1" x14ac:dyDescent="0.3"/>
    <row r="39" spans="2:4" s="5" customFormat="1" ht="18.600000000000001" thickBot="1" x14ac:dyDescent="0.35">
      <c r="B39" s="1" t="s">
        <v>302</v>
      </c>
      <c r="C39" s="32"/>
      <c r="D39" s="37"/>
    </row>
    <row r="40" spans="2:4" ht="16.5" customHeight="1" thickBot="1" x14ac:dyDescent="0.35">
      <c r="C40" s="33" t="s">
        <v>251</v>
      </c>
      <c r="D40" s="38" t="s">
        <v>303</v>
      </c>
    </row>
    <row r="41" spans="2:4" ht="16.5" customHeight="1" thickBot="1" x14ac:dyDescent="0.35">
      <c r="C41" s="34" t="s">
        <v>2</v>
      </c>
      <c r="D41" s="40">
        <v>1150000</v>
      </c>
    </row>
    <row r="42" spans="2:4" ht="16.5" customHeight="1" thickBot="1" x14ac:dyDescent="0.35">
      <c r="C42" s="34" t="s">
        <v>10</v>
      </c>
      <c r="D42" s="40">
        <v>15000</v>
      </c>
    </row>
    <row r="43" spans="2:4" ht="16.5" customHeight="1" thickBot="1" x14ac:dyDescent="0.35">
      <c r="C43" s="33" t="s">
        <v>11</v>
      </c>
      <c r="D43" s="41">
        <f>D41+D42</f>
        <v>1165000</v>
      </c>
    </row>
    <row r="44" spans="2:4" ht="16.5" customHeight="1" thickBot="1" x14ac:dyDescent="0.35">
      <c r="C44" s="34"/>
      <c r="D44" s="39"/>
    </row>
    <row r="45" spans="2:4" ht="16.5" customHeight="1" thickBot="1" x14ac:dyDescent="0.35">
      <c r="C45" s="34" t="s">
        <v>16</v>
      </c>
      <c r="D45" s="40">
        <v>20000</v>
      </c>
    </row>
    <row r="46" spans="2:4" ht="16.5" customHeight="1" thickBot="1" x14ac:dyDescent="0.35">
      <c r="C46" s="34" t="s">
        <v>12</v>
      </c>
      <c r="D46" s="40">
        <v>-530000</v>
      </c>
    </row>
    <row r="47" spans="2:4" ht="16.5" customHeight="1" thickBot="1" x14ac:dyDescent="0.35">
      <c r="C47" s="34" t="s">
        <v>13</v>
      </c>
      <c r="D47" s="40">
        <v>-215000</v>
      </c>
    </row>
    <row r="48" spans="2:4" ht="16.5" customHeight="1" thickBot="1" x14ac:dyDescent="0.35">
      <c r="C48" s="34" t="s">
        <v>17</v>
      </c>
      <c r="D48" s="40">
        <v>-38000</v>
      </c>
    </row>
    <row r="49" spans="3:4" ht="16.5" customHeight="1" thickBot="1" x14ac:dyDescent="0.35">
      <c r="C49" s="34" t="s">
        <v>18</v>
      </c>
      <c r="D49" s="40">
        <v>-195000</v>
      </c>
    </row>
    <row r="50" spans="3:4" ht="16.5" customHeight="1" thickBot="1" x14ac:dyDescent="0.35">
      <c r="C50" s="34" t="s">
        <v>14</v>
      </c>
      <c r="D50" s="40">
        <v>80000</v>
      </c>
    </row>
    <row r="51" spans="3:4" ht="16.5" customHeight="1" thickBot="1" x14ac:dyDescent="0.35">
      <c r="C51" s="34" t="s">
        <v>15</v>
      </c>
      <c r="D51" s="40">
        <v>-10000</v>
      </c>
    </row>
    <row r="52" spans="3:4" ht="16.5" customHeight="1" thickBot="1" x14ac:dyDescent="0.35">
      <c r="C52" s="34" t="s">
        <v>39</v>
      </c>
      <c r="D52" s="40">
        <v>-2000</v>
      </c>
    </row>
    <row r="53" spans="3:4" ht="16.5" customHeight="1" thickBot="1" x14ac:dyDescent="0.35">
      <c r="C53" s="33" t="s">
        <v>19</v>
      </c>
      <c r="D53" s="41">
        <f>SUM(D43:D52)</f>
        <v>275000</v>
      </c>
    </row>
    <row r="54" spans="3:4" ht="16.5" customHeight="1" thickBot="1" x14ac:dyDescent="0.35">
      <c r="C54" s="34"/>
      <c r="D54" s="39"/>
    </row>
    <row r="55" spans="3:4" ht="16.5" customHeight="1" thickBot="1" x14ac:dyDescent="0.35">
      <c r="C55" s="34" t="s">
        <v>3</v>
      </c>
      <c r="D55" s="40">
        <v>-102000</v>
      </c>
    </row>
    <row r="56" spans="3:4" ht="16.5" customHeight="1" thickBot="1" x14ac:dyDescent="0.35">
      <c r="C56" s="33" t="s">
        <v>20</v>
      </c>
      <c r="D56" s="41">
        <f>D53+D55</f>
        <v>173000</v>
      </c>
    </row>
    <row r="57" spans="3:4" ht="16.5" customHeight="1" thickBot="1" x14ac:dyDescent="0.35">
      <c r="C57" s="34"/>
      <c r="D57" s="39"/>
    </row>
    <row r="58" spans="3:4" ht="16.5" customHeight="1" thickBot="1" x14ac:dyDescent="0.35">
      <c r="C58" s="34" t="s">
        <v>21</v>
      </c>
      <c r="D58" s="40">
        <v>-173000</v>
      </c>
    </row>
    <row r="59" spans="3:4" ht="16.5" customHeight="1" thickBot="1" x14ac:dyDescent="0.35">
      <c r="C59" s="33" t="s">
        <v>22</v>
      </c>
      <c r="D59" s="41">
        <f>D56+D58</f>
        <v>0</v>
      </c>
    </row>
  </sheetData>
  <phoneticPr fontId="0" type="noConversion"/>
  <printOptions horizontalCentered="1"/>
  <pageMargins left="0.59055118110236227" right="0.59055118110236227" top="1.3385826771653544" bottom="0.9055118110236221" header="0.19685039370078741" footer="0.39370078740157483"/>
  <pageSetup paperSize="9" scale="98" firstPageNumber="524" fitToHeight="2" orientation="portrait" r:id="rId1"/>
  <headerFooter alignWithMargins="0">
    <oddFooter>&amp;L&amp;6Copyright © 2007 Vahs, D./Schäfer-Kunz, J.: Einführung in die Betriebswirtschaftslehre, 5. Auflage, 2007&amp;R&amp;10 14 Externes Rechnungswesen     &amp;14&amp;P</oddFooter>
  </headerFooter>
  <rowBreaks count="1" manualBreakCount="1">
    <brk id="38" min="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97"/>
  <sheetViews>
    <sheetView tabSelected="1" workbookViewId="0"/>
  </sheetViews>
  <sheetFormatPr baseColWidth="10" defaultColWidth="8.69140625" defaultRowHeight="13.8" x14ac:dyDescent="0.3"/>
  <cols>
    <col min="1" max="1" width="2" style="20" customWidth="1"/>
    <col min="2" max="2" width="7.4609375" style="20" bestFit="1" customWidth="1"/>
    <col min="3" max="3" width="31" style="19" customWidth="1"/>
    <col min="4" max="4" width="14" style="19" customWidth="1"/>
    <col min="5" max="12" width="11.3828125" style="19" customWidth="1"/>
    <col min="13" max="15" width="10.53515625" style="19" customWidth="1"/>
    <col min="16" max="16" width="10.61328125" style="19" customWidth="1"/>
    <col min="17" max="25" width="10.53515625" style="19" customWidth="1"/>
    <col min="26" max="16384" width="8.69140625" style="19"/>
  </cols>
  <sheetData>
    <row r="1" spans="2:6" ht="16.5" customHeight="1" x14ac:dyDescent="0.3"/>
    <row r="2" spans="2:6" s="20" customFormat="1" ht="18.600000000000001" thickBot="1" x14ac:dyDescent="0.35">
      <c r="B2" s="29" t="s">
        <v>300</v>
      </c>
      <c r="C2" s="45"/>
      <c r="D2" s="31"/>
      <c r="E2" s="31"/>
      <c r="F2" s="31"/>
    </row>
    <row r="3" spans="2:6" ht="16.5" customHeight="1" thickBot="1" x14ac:dyDescent="0.35">
      <c r="C3" s="33" t="s">
        <v>314</v>
      </c>
      <c r="D3" s="33" t="s">
        <v>115</v>
      </c>
      <c r="E3" s="38" t="s">
        <v>116</v>
      </c>
    </row>
    <row r="4" spans="2:6" ht="16.5" customHeight="1" thickBot="1" x14ac:dyDescent="0.35">
      <c r="C4" s="47" t="s">
        <v>84</v>
      </c>
      <c r="D4" s="34" t="s">
        <v>47</v>
      </c>
      <c r="E4" s="46">
        <f>-'Kapitel 10 Fallbeispiel'!D46-E32</f>
        <v>498200</v>
      </c>
    </row>
    <row r="5" spans="2:6" ht="16.5" customHeight="1" thickBot="1" x14ac:dyDescent="0.35">
      <c r="C5" s="48"/>
      <c r="D5" s="34" t="s">
        <v>86</v>
      </c>
      <c r="E5" s="46">
        <f>-'Kapitel 10 Fallbeispiel'!D47-E34-E36</f>
        <v>66650</v>
      </c>
    </row>
    <row r="6" spans="2:6" ht="28.2" thickBot="1" x14ac:dyDescent="0.35">
      <c r="C6" s="47" t="s">
        <v>135</v>
      </c>
      <c r="D6" s="34" t="s">
        <v>117</v>
      </c>
      <c r="E6" s="46">
        <f>E32</f>
        <v>31800</v>
      </c>
    </row>
    <row r="7" spans="2:6" ht="16.5" customHeight="1" thickBot="1" x14ac:dyDescent="0.35">
      <c r="C7" s="49"/>
      <c r="D7" s="34" t="s">
        <v>118</v>
      </c>
      <c r="E7" s="46">
        <f>E34</f>
        <v>36550</v>
      </c>
    </row>
    <row r="8" spans="2:6" ht="16.5" customHeight="1" thickBot="1" x14ac:dyDescent="0.35">
      <c r="C8" s="49"/>
      <c r="D8" s="34" t="s">
        <v>119</v>
      </c>
      <c r="E8" s="46">
        <f>E36</f>
        <v>111800</v>
      </c>
    </row>
    <row r="9" spans="2:6" ht="30" customHeight="1" thickBot="1" x14ac:dyDescent="0.35">
      <c r="C9" s="48"/>
      <c r="D9" s="34" t="s">
        <v>120</v>
      </c>
      <c r="E9" s="46">
        <f>-'Kapitel 10 Fallbeispiel'!D48</f>
        <v>38000</v>
      </c>
    </row>
    <row r="10" spans="2:6" ht="30" customHeight="1" thickBot="1" x14ac:dyDescent="0.35">
      <c r="C10" s="47" t="s">
        <v>142</v>
      </c>
      <c r="D10" s="34" t="s">
        <v>141</v>
      </c>
      <c r="E10" s="46">
        <f>E41</f>
        <v>191100</v>
      </c>
    </row>
    <row r="11" spans="2:6" ht="16.5" customHeight="1" thickBot="1" x14ac:dyDescent="0.35">
      <c r="C11" s="49"/>
      <c r="D11" s="34" t="s">
        <v>121</v>
      </c>
      <c r="E11" s="46">
        <f>E43</f>
        <v>3380</v>
      </c>
    </row>
    <row r="12" spans="2:6" ht="30" customHeight="1" thickBot="1" x14ac:dyDescent="0.35">
      <c r="C12" s="49"/>
      <c r="D12" s="34" t="s">
        <v>122</v>
      </c>
      <c r="E12" s="46">
        <f>E44</f>
        <v>45450</v>
      </c>
    </row>
    <row r="13" spans="2:6" ht="16.5" customHeight="1" thickBot="1" x14ac:dyDescent="0.35">
      <c r="C13" s="48"/>
      <c r="D13" s="34" t="s">
        <v>123</v>
      </c>
      <c r="E13" s="46">
        <f>E45</f>
        <v>520</v>
      </c>
    </row>
    <row r="14" spans="2:6" ht="16.5" customHeight="1" x14ac:dyDescent="0.3">
      <c r="C14" s="20"/>
      <c r="D14" s="20"/>
    </row>
    <row r="15" spans="2:6" ht="16.5" customHeight="1" x14ac:dyDescent="0.3"/>
    <row r="16" spans="2:6" s="20" customFormat="1" ht="18.600000000000001" thickBot="1" x14ac:dyDescent="0.35">
      <c r="B16" s="29" t="s">
        <v>301</v>
      </c>
      <c r="C16" s="45"/>
      <c r="D16" s="31"/>
      <c r="E16" s="31"/>
      <c r="F16" s="31"/>
    </row>
    <row r="17" spans="3:11" ht="16.5" customHeight="1" thickBot="1" x14ac:dyDescent="0.35">
      <c r="C17" s="33" t="s">
        <v>313</v>
      </c>
      <c r="D17" s="34"/>
      <c r="E17" s="34"/>
      <c r="F17" s="38" t="s">
        <v>102</v>
      </c>
      <c r="G17" s="34"/>
      <c r="H17" s="38" t="s">
        <v>103</v>
      </c>
      <c r="I17" s="34"/>
      <c r="J17" s="34"/>
      <c r="K17" s="34"/>
    </row>
    <row r="18" spans="3:11" ht="16.5" customHeight="1" thickBot="1" x14ac:dyDescent="0.35">
      <c r="C18" s="34"/>
      <c r="D18" s="33"/>
      <c r="E18" s="38" t="s">
        <v>50</v>
      </c>
      <c r="F18" s="38" t="s">
        <v>40</v>
      </c>
      <c r="G18" s="38" t="s">
        <v>140</v>
      </c>
      <c r="H18" s="38" t="s">
        <v>41</v>
      </c>
      <c r="I18" s="38" t="s">
        <v>42</v>
      </c>
      <c r="J18" s="38" t="s">
        <v>43</v>
      </c>
      <c r="K18" s="38" t="s">
        <v>44</v>
      </c>
    </row>
    <row r="19" spans="3:11" ht="16.5" customHeight="1" thickBot="1" x14ac:dyDescent="0.35">
      <c r="C19" s="33" t="s">
        <v>45</v>
      </c>
      <c r="D19" s="34"/>
      <c r="E19" s="34"/>
      <c r="F19" s="34"/>
      <c r="G19" s="34"/>
      <c r="H19" s="34"/>
      <c r="I19" s="34"/>
      <c r="J19" s="34"/>
      <c r="K19" s="34"/>
    </row>
    <row r="20" spans="3:11" ht="16.5" hidden="1" customHeight="1" x14ac:dyDescent="0.3">
      <c r="C20" s="34" t="s">
        <v>48</v>
      </c>
      <c r="D20" s="34"/>
      <c r="E20" s="50">
        <v>1</v>
      </c>
      <c r="F20" s="51">
        <v>0.01</v>
      </c>
      <c r="G20" s="51">
        <v>0.02</v>
      </c>
      <c r="H20" s="51">
        <v>0.2</v>
      </c>
      <c r="I20" s="51">
        <v>0.72</v>
      </c>
      <c r="J20" s="51">
        <v>0.03</v>
      </c>
      <c r="K20" s="50">
        <f>E20-SUM(F20:J20)</f>
        <v>2.0000000000000018E-2</v>
      </c>
    </row>
    <row r="21" spans="3:11" ht="16.5" hidden="1" customHeight="1" x14ac:dyDescent="0.3">
      <c r="C21" s="34" t="s">
        <v>56</v>
      </c>
      <c r="D21" s="34"/>
      <c r="E21" s="35">
        <f>ROUND(-'Kapitel 10 Fallbeispiel'!D47*(1.04-E37)/80,0)</f>
        <v>1398</v>
      </c>
      <c r="F21" s="52">
        <f t="shared" ref="F21:K21" si="0">ROUND($E21*F22,0)</f>
        <v>14</v>
      </c>
      <c r="G21" s="52">
        <f>ROUND($E21*G22,0)</f>
        <v>28</v>
      </c>
      <c r="H21" s="52">
        <f>ROUND($E21*H22,0)</f>
        <v>168</v>
      </c>
      <c r="I21" s="52">
        <f t="shared" si="0"/>
        <v>1076</v>
      </c>
      <c r="J21" s="52">
        <f t="shared" si="0"/>
        <v>84</v>
      </c>
      <c r="K21" s="52">
        <f t="shared" si="0"/>
        <v>28</v>
      </c>
    </row>
    <row r="22" spans="3:11" ht="16.5" hidden="1" customHeight="1" x14ac:dyDescent="0.3">
      <c r="C22" s="34" t="s">
        <v>151</v>
      </c>
      <c r="D22" s="34"/>
      <c r="E22" s="50">
        <f>SUM(F22:K22)</f>
        <v>1</v>
      </c>
      <c r="F22" s="51">
        <v>0.01</v>
      </c>
      <c r="G22" s="51">
        <v>0.02</v>
      </c>
      <c r="H22" s="51">
        <v>0.12</v>
      </c>
      <c r="I22" s="51">
        <v>0.77</v>
      </c>
      <c r="J22" s="51">
        <v>0.06</v>
      </c>
      <c r="K22" s="50">
        <f>1-SUM(F22:J22)</f>
        <v>2.0000000000000018E-2</v>
      </c>
    </row>
    <row r="23" spans="3:11" ht="16.5" hidden="1" customHeight="1" x14ac:dyDescent="0.3">
      <c r="C23" s="34" t="s">
        <v>57</v>
      </c>
      <c r="D23" s="34"/>
      <c r="E23" s="35">
        <f>ROUND(-'Kapitel 10 Fallbeispiel'!D47*(E37-0.04)/80,0)</f>
        <v>1290</v>
      </c>
      <c r="F23" s="52">
        <f>ROUND($E23*F24,0)</f>
        <v>13</v>
      </c>
      <c r="G23" s="52">
        <f>ROUNDDOWN($E23*G24,0)</f>
        <v>12</v>
      </c>
      <c r="H23" s="52">
        <f>ROUND($E23*H24,0)</f>
        <v>39</v>
      </c>
      <c r="I23" s="52">
        <f>ROUND($E23*I24,0)</f>
        <v>142</v>
      </c>
      <c r="J23" s="52">
        <f>ROUND($E23*J24,0)</f>
        <v>903</v>
      </c>
      <c r="K23" s="52">
        <f>ROUND($E23*K24,0)</f>
        <v>181</v>
      </c>
    </row>
    <row r="24" spans="3:11" ht="16.5" hidden="1" customHeight="1" x14ac:dyDescent="0.3">
      <c r="C24" s="34" t="s">
        <v>152</v>
      </c>
      <c r="D24" s="34"/>
      <c r="E24" s="50">
        <f>SUM(F24:K24)</f>
        <v>1</v>
      </c>
      <c r="F24" s="51">
        <v>0.01</v>
      </c>
      <c r="G24" s="51">
        <v>0.01</v>
      </c>
      <c r="H24" s="51">
        <v>0.03</v>
      </c>
      <c r="I24" s="51">
        <v>0.11</v>
      </c>
      <c r="J24" s="51">
        <v>0.7</v>
      </c>
      <c r="K24" s="50">
        <f>1-SUM(F24:J24)</f>
        <v>0.14000000000000001</v>
      </c>
    </row>
    <row r="25" spans="3:11" ht="16.5" hidden="1" customHeight="1" x14ac:dyDescent="0.3">
      <c r="C25" s="34" t="s">
        <v>69</v>
      </c>
      <c r="D25" s="34"/>
      <c r="E25" s="35">
        <f>'Kapitel 10 Fallbeispiel'!D5*0.85+'Kapitel 10 Fallbeispiel'!D6*0.95</f>
        <v>250000</v>
      </c>
      <c r="F25" s="52">
        <f t="shared" ref="F25:K25" si="1">$E25*F26</f>
        <v>5000</v>
      </c>
      <c r="G25" s="52">
        <f>$E25*G26</f>
        <v>10000</v>
      </c>
      <c r="H25" s="52">
        <f>$E25*H26</f>
        <v>22500</v>
      </c>
      <c r="I25" s="52">
        <f t="shared" si="1"/>
        <v>170000</v>
      </c>
      <c r="J25" s="52">
        <f t="shared" si="1"/>
        <v>22500</v>
      </c>
      <c r="K25" s="52">
        <f t="shared" si="1"/>
        <v>19999.999999999989</v>
      </c>
    </row>
    <row r="26" spans="3:11" ht="16.5" hidden="1" customHeight="1" x14ac:dyDescent="0.3">
      <c r="C26" s="34" t="s">
        <v>153</v>
      </c>
      <c r="D26" s="34"/>
      <c r="E26" s="50">
        <f>SUM(F26:K26)</f>
        <v>1</v>
      </c>
      <c r="F26" s="51">
        <v>0.02</v>
      </c>
      <c r="G26" s="51">
        <v>0.04</v>
      </c>
      <c r="H26" s="51">
        <v>0.09</v>
      </c>
      <c r="I26" s="51">
        <v>0.68</v>
      </c>
      <c r="J26" s="51">
        <v>0.09</v>
      </c>
      <c r="K26" s="50">
        <f>1-SUM(F26:J26)</f>
        <v>7.999999999999996E-2</v>
      </c>
    </row>
    <row r="27" spans="3:11" ht="16.5" customHeight="1" thickBot="1" x14ac:dyDescent="0.35">
      <c r="C27" s="34" t="s">
        <v>46</v>
      </c>
      <c r="D27" s="34"/>
      <c r="E27" s="53">
        <v>130000</v>
      </c>
      <c r="F27" s="52">
        <f t="shared" ref="F27:K27" si="2">$E27*F28</f>
        <v>1300</v>
      </c>
      <c r="G27" s="52">
        <f>$E27*G28</f>
        <v>3900</v>
      </c>
      <c r="H27" s="52">
        <f>$E27*H28</f>
        <v>19500</v>
      </c>
      <c r="I27" s="52">
        <f t="shared" si="2"/>
        <v>78000</v>
      </c>
      <c r="J27" s="52">
        <f t="shared" si="2"/>
        <v>15600</v>
      </c>
      <c r="K27" s="52">
        <f t="shared" si="2"/>
        <v>11699.999999999996</v>
      </c>
    </row>
    <row r="28" spans="3:11" ht="16.5" hidden="1" customHeight="1" x14ac:dyDescent="0.3">
      <c r="C28" s="34" t="s">
        <v>154</v>
      </c>
      <c r="D28" s="34"/>
      <c r="E28" s="50">
        <f>SUM(F28:K28)</f>
        <v>1</v>
      </c>
      <c r="F28" s="51">
        <v>0.01</v>
      </c>
      <c r="G28" s="51">
        <v>0.03</v>
      </c>
      <c r="H28" s="51">
        <v>0.15</v>
      </c>
      <c r="I28" s="51">
        <v>0.6</v>
      </c>
      <c r="J28" s="51">
        <v>0.12</v>
      </c>
      <c r="K28" s="50">
        <f>1-SUM(F28:J28)</f>
        <v>8.9999999999999969E-2</v>
      </c>
    </row>
    <row r="29" spans="3:11" ht="16.5" customHeight="1" thickBot="1" x14ac:dyDescent="0.35">
      <c r="C29" s="34" t="s">
        <v>304</v>
      </c>
      <c r="D29" s="34"/>
      <c r="E29" s="35">
        <f>'Kapitel 10 Fallbeispiel'!D17-'Kapitel 10 Fallbeispiel'!D32</f>
        <v>909000</v>
      </c>
      <c r="F29" s="52">
        <f t="shared" ref="F29:K29" si="3">$E29*F30</f>
        <v>9090</v>
      </c>
      <c r="G29" s="52">
        <f>$E29*G30</f>
        <v>18180</v>
      </c>
      <c r="H29" s="52">
        <f>$E29*H30</f>
        <v>227250</v>
      </c>
      <c r="I29" s="52">
        <f t="shared" si="3"/>
        <v>545400</v>
      </c>
      <c r="J29" s="52">
        <f t="shared" si="3"/>
        <v>45450</v>
      </c>
      <c r="K29" s="52">
        <f t="shared" si="3"/>
        <v>63629.999999999956</v>
      </c>
    </row>
    <row r="30" spans="3:11" ht="16.5" hidden="1" customHeight="1" x14ac:dyDescent="0.3">
      <c r="C30" s="34" t="s">
        <v>155</v>
      </c>
      <c r="D30" s="34"/>
      <c r="E30" s="50">
        <f>SUM(F30:K30)</f>
        <v>1</v>
      </c>
      <c r="F30" s="51">
        <v>0.01</v>
      </c>
      <c r="G30" s="51">
        <v>0.02</v>
      </c>
      <c r="H30" s="51">
        <v>0.25</v>
      </c>
      <c r="I30" s="51">
        <v>0.6</v>
      </c>
      <c r="J30" s="51">
        <v>0.05</v>
      </c>
      <c r="K30" s="50">
        <f>1-SUM(F30:J30)</f>
        <v>6.9999999999999951E-2</v>
      </c>
    </row>
    <row r="31" spans="3:11" ht="16.5" customHeight="1" thickBot="1" x14ac:dyDescent="0.35">
      <c r="C31" s="33" t="s">
        <v>74</v>
      </c>
      <c r="D31" s="33" t="s">
        <v>61</v>
      </c>
      <c r="E31" s="38"/>
      <c r="F31" s="38"/>
      <c r="G31" s="38"/>
      <c r="H31" s="38"/>
      <c r="I31" s="38"/>
      <c r="J31" s="38"/>
      <c r="K31" s="38"/>
    </row>
    <row r="32" spans="3:11" ht="16.5" customHeight="1" thickBot="1" x14ac:dyDescent="0.35">
      <c r="C32" s="34" t="s">
        <v>70</v>
      </c>
      <c r="D32" s="34" t="s">
        <v>52</v>
      </c>
      <c r="E32" s="35">
        <f>-'Kapitel 10 Fallbeispiel'!D46*E33</f>
        <v>31800</v>
      </c>
      <c r="F32" s="54">
        <f t="shared" ref="F32:K32" si="4">$E32*F20</f>
        <v>318</v>
      </c>
      <c r="G32" s="54">
        <f>$E32*G20</f>
        <v>636</v>
      </c>
      <c r="H32" s="54">
        <f>$E32*H20</f>
        <v>6360</v>
      </c>
      <c r="I32" s="54">
        <f t="shared" si="4"/>
        <v>22896</v>
      </c>
      <c r="J32" s="54">
        <f t="shared" si="4"/>
        <v>954</v>
      </c>
      <c r="K32" s="54">
        <f t="shared" si="4"/>
        <v>636.00000000000057</v>
      </c>
    </row>
    <row r="33" spans="1:12" ht="16.5" hidden="1" customHeight="1" x14ac:dyDescent="0.3">
      <c r="C33" s="34" t="s">
        <v>156</v>
      </c>
      <c r="D33" s="34"/>
      <c r="E33" s="51">
        <v>0.06</v>
      </c>
      <c r="F33" s="54"/>
      <c r="G33" s="54"/>
      <c r="H33" s="54"/>
      <c r="I33" s="54"/>
      <c r="J33" s="54"/>
      <c r="K33" s="54"/>
    </row>
    <row r="34" spans="1:12" ht="16.5" customHeight="1" thickBot="1" x14ac:dyDescent="0.35">
      <c r="C34" s="34" t="s">
        <v>71</v>
      </c>
      <c r="D34" s="34" t="s">
        <v>54</v>
      </c>
      <c r="E34" s="35">
        <f>-'Kapitel 10 Fallbeispiel'!D47*E35</f>
        <v>36550</v>
      </c>
      <c r="F34" s="54">
        <f>ROUND($E34*F21/($E21-$E5/80),0)</f>
        <v>906</v>
      </c>
      <c r="G34" s="54">
        <f>ROUND($E34*G21/($E21-$E5/80),0)</f>
        <v>1812</v>
      </c>
      <c r="H34" s="54">
        <f>ROUND($E34*H21/($E21-$E5/80),0)</f>
        <v>10870</v>
      </c>
      <c r="I34" s="54">
        <f>ROUND($E34*(I21-$E5/80)/($E21-$E5/80),0)</f>
        <v>15715</v>
      </c>
      <c r="J34" s="54">
        <f>ROUND($E34*J21/($E21-$E5/80),0)</f>
        <v>5435</v>
      </c>
      <c r="K34" s="54">
        <f>ROUND($E34*K21/($E21-$E5/80),0)</f>
        <v>1812</v>
      </c>
    </row>
    <row r="35" spans="1:12" ht="16.5" hidden="1" customHeight="1" x14ac:dyDescent="0.3">
      <c r="C35" s="34" t="s">
        <v>157</v>
      </c>
      <c r="D35" s="34"/>
      <c r="E35" s="51">
        <v>0.17</v>
      </c>
      <c r="F35" s="54"/>
      <c r="G35" s="54"/>
      <c r="H35" s="54"/>
      <c r="I35" s="54"/>
      <c r="J35" s="54"/>
      <c r="K35" s="54"/>
    </row>
    <row r="36" spans="1:12" ht="16.5" customHeight="1" thickBot="1" x14ac:dyDescent="0.35">
      <c r="C36" s="34" t="s">
        <v>72</v>
      </c>
      <c r="D36" s="34" t="s">
        <v>53</v>
      </c>
      <c r="E36" s="35">
        <f>-'Kapitel 10 Fallbeispiel'!D47*E37</f>
        <v>111800</v>
      </c>
      <c r="F36" s="54">
        <f t="shared" ref="F36:K36" si="5">$E36*F24</f>
        <v>1118</v>
      </c>
      <c r="G36" s="54">
        <f>$E36*G24</f>
        <v>1118</v>
      </c>
      <c r="H36" s="54">
        <f>$E36*H24</f>
        <v>3354</v>
      </c>
      <c r="I36" s="54">
        <f t="shared" si="5"/>
        <v>12298</v>
      </c>
      <c r="J36" s="54">
        <f t="shared" si="5"/>
        <v>78260</v>
      </c>
      <c r="K36" s="54">
        <f t="shared" si="5"/>
        <v>15652.000000000002</v>
      </c>
    </row>
    <row r="37" spans="1:12" ht="16.5" hidden="1" customHeight="1" x14ac:dyDescent="0.3">
      <c r="C37" s="34" t="s">
        <v>157</v>
      </c>
      <c r="D37" s="34"/>
      <c r="E37" s="51">
        <v>0.52</v>
      </c>
      <c r="F37" s="54"/>
      <c r="G37" s="54"/>
      <c r="H37" s="54"/>
      <c r="I37" s="54"/>
      <c r="J37" s="54"/>
      <c r="K37" s="54"/>
    </row>
    <row r="38" spans="1:12" ht="16.5" customHeight="1" thickBot="1" x14ac:dyDescent="0.35">
      <c r="C38" s="34" t="s">
        <v>73</v>
      </c>
      <c r="D38" s="34" t="s">
        <v>55</v>
      </c>
      <c r="E38" s="35">
        <f>E9</f>
        <v>38000</v>
      </c>
      <c r="F38" s="54">
        <f t="shared" ref="F38:K38" si="6">$E38*F25/$E25</f>
        <v>760</v>
      </c>
      <c r="G38" s="54">
        <f>$E38*G25/$E25</f>
        <v>1520</v>
      </c>
      <c r="H38" s="54">
        <f>$E38*H25/$E25</f>
        <v>3420</v>
      </c>
      <c r="I38" s="54">
        <f t="shared" si="6"/>
        <v>25840</v>
      </c>
      <c r="J38" s="54">
        <f t="shared" si="6"/>
        <v>3420</v>
      </c>
      <c r="K38" s="54">
        <f t="shared" si="6"/>
        <v>3039.9999999999986</v>
      </c>
    </row>
    <row r="39" spans="1:12" ht="16.5" hidden="1" customHeight="1" x14ac:dyDescent="0.3">
      <c r="C39" s="33" t="s">
        <v>50</v>
      </c>
      <c r="D39" s="33"/>
      <c r="E39" s="35">
        <f>E32+E34+E36+E38</f>
        <v>218150</v>
      </c>
      <c r="F39" s="55">
        <f t="shared" ref="F39:K39" si="7">SUM(F32:F38)</f>
        <v>3102</v>
      </c>
      <c r="G39" s="55">
        <f>SUM(G32:G38)</f>
        <v>5086</v>
      </c>
      <c r="H39" s="55">
        <f>SUM(H32:H38)</f>
        <v>24004</v>
      </c>
      <c r="I39" s="55">
        <f t="shared" si="7"/>
        <v>76749</v>
      </c>
      <c r="J39" s="55">
        <f t="shared" si="7"/>
        <v>88069</v>
      </c>
      <c r="K39" s="55">
        <f t="shared" si="7"/>
        <v>21140.000000000004</v>
      </c>
    </row>
    <row r="40" spans="1:12" ht="16.5" customHeight="1" thickBot="1" x14ac:dyDescent="0.35">
      <c r="C40" s="33" t="s">
        <v>75</v>
      </c>
      <c r="D40" s="33" t="s">
        <v>51</v>
      </c>
      <c r="E40" s="38"/>
      <c r="F40" s="38"/>
      <c r="G40" s="38"/>
      <c r="H40" s="38"/>
      <c r="I40" s="38"/>
      <c r="J40" s="38"/>
      <c r="K40" s="38"/>
    </row>
    <row r="41" spans="1:12" ht="16.5" customHeight="1" thickBot="1" x14ac:dyDescent="0.35">
      <c r="C41" s="34" t="s">
        <v>76</v>
      </c>
      <c r="D41" s="34" t="s">
        <v>67</v>
      </c>
      <c r="E41" s="35">
        <f>-'Kapitel 10 Fallbeispiel'!D49*E42</f>
        <v>191100</v>
      </c>
      <c r="F41" s="54">
        <f t="shared" ref="F41:K41" si="8">$E41*F27/$E27</f>
        <v>1911</v>
      </c>
      <c r="G41" s="54">
        <f>$E41*G27/$E27</f>
        <v>5733</v>
      </c>
      <c r="H41" s="54">
        <f>$E41*H27/$E27</f>
        <v>28665</v>
      </c>
      <c r="I41" s="54">
        <f t="shared" si="8"/>
        <v>114660</v>
      </c>
      <c r="J41" s="54">
        <f t="shared" si="8"/>
        <v>22932</v>
      </c>
      <c r="K41" s="54">
        <f t="shared" si="8"/>
        <v>17198.999999999996</v>
      </c>
    </row>
    <row r="42" spans="1:12" ht="16.5" hidden="1" customHeight="1" x14ac:dyDescent="0.3">
      <c r="C42" s="34" t="s">
        <v>158</v>
      </c>
      <c r="D42" s="34"/>
      <c r="E42" s="51">
        <v>0.98</v>
      </c>
      <c r="F42" s="54"/>
      <c r="G42" s="54"/>
      <c r="H42" s="54"/>
      <c r="I42" s="54"/>
      <c r="J42" s="54"/>
      <c r="K42" s="54"/>
    </row>
    <row r="43" spans="1:12" ht="16.5" customHeight="1" thickBot="1" x14ac:dyDescent="0.35">
      <c r="C43" s="34" t="s">
        <v>77</v>
      </c>
      <c r="D43" s="34" t="s">
        <v>305</v>
      </c>
      <c r="E43" s="35">
        <f>-'Kapitel 10 Fallbeispiel'!D49-E41-E45</f>
        <v>3380</v>
      </c>
      <c r="F43" s="54">
        <f>ROUND($E43*F29/$E29,0)</f>
        <v>34</v>
      </c>
      <c r="G43" s="54">
        <f>ROUNDDOWN($E43*G29/$E29,0)</f>
        <v>67</v>
      </c>
      <c r="H43" s="54">
        <f>ROUND($E43*H29/$E29,0)</f>
        <v>845</v>
      </c>
      <c r="I43" s="54">
        <f>ROUND($E43*I29/$E29,0)</f>
        <v>2028</v>
      </c>
      <c r="J43" s="54">
        <f>ROUND($E43*J29/$E29,0)</f>
        <v>169</v>
      </c>
      <c r="K43" s="54">
        <f>ROUND($E43*K29/$E29,0)</f>
        <v>237</v>
      </c>
    </row>
    <row r="44" spans="1:12" ht="16.5" customHeight="1" thickBot="1" x14ac:dyDescent="0.35">
      <c r="C44" s="34" t="s">
        <v>78</v>
      </c>
      <c r="D44" s="34" t="s">
        <v>305</v>
      </c>
      <c r="E44" s="35">
        <f>E29*0.05</f>
        <v>45450</v>
      </c>
      <c r="F44" s="54">
        <f>ROUND($E44*F29/$E29,0)</f>
        <v>455</v>
      </c>
      <c r="G44" s="54">
        <f>ROUND($E44*G29/$E29,0)</f>
        <v>909</v>
      </c>
      <c r="H44" s="54">
        <f>ROUND($E44*H29/$E29,0)</f>
        <v>11363</v>
      </c>
      <c r="I44" s="54">
        <f>ROUND($E44*I29/$E29,0)</f>
        <v>27270</v>
      </c>
      <c r="J44" s="54">
        <f>ROUNDDOWN($E44*J29/$E29,0)</f>
        <v>2272</v>
      </c>
      <c r="K44" s="54">
        <f>ROUNDDOWN($E44*K29/$E29,0)</f>
        <v>3181</v>
      </c>
    </row>
    <row r="45" spans="1:12" ht="16.5" customHeight="1" thickBot="1" x14ac:dyDescent="0.35">
      <c r="C45" s="34" t="s">
        <v>79</v>
      </c>
      <c r="D45" s="34" t="s">
        <v>67</v>
      </c>
      <c r="E45" s="35">
        <f>E27/2*2*0.004</f>
        <v>520</v>
      </c>
      <c r="F45" s="54">
        <f t="shared" ref="F45:K45" si="9">ROUND($E45*F27/$E27,0)</f>
        <v>5</v>
      </c>
      <c r="G45" s="54">
        <f>ROUND($E45*G27/$E27,0)</f>
        <v>16</v>
      </c>
      <c r="H45" s="54">
        <f>ROUND($E45*H27/$E27,0)</f>
        <v>78</v>
      </c>
      <c r="I45" s="54">
        <f t="shared" si="9"/>
        <v>312</v>
      </c>
      <c r="J45" s="54">
        <f t="shared" si="9"/>
        <v>62</v>
      </c>
      <c r="K45" s="54">
        <f t="shared" si="9"/>
        <v>47</v>
      </c>
    </row>
    <row r="46" spans="1:12" ht="16.5" hidden="1" customHeight="1" x14ac:dyDescent="0.3">
      <c r="C46" s="33" t="s">
        <v>50</v>
      </c>
      <c r="D46" s="33"/>
      <c r="E46" s="35">
        <f>E41+E43+E44+E45</f>
        <v>240450</v>
      </c>
      <c r="F46" s="55">
        <f t="shared" ref="F46:K46" si="10">SUM(F41:F45)</f>
        <v>2405</v>
      </c>
      <c r="G46" s="55">
        <f>SUM(G41:G45)</f>
        <v>6725</v>
      </c>
      <c r="H46" s="55">
        <f>SUM(H41:H45)</f>
        <v>40951</v>
      </c>
      <c r="I46" s="55">
        <f t="shared" si="10"/>
        <v>144270</v>
      </c>
      <c r="J46" s="55">
        <f t="shared" si="10"/>
        <v>25435</v>
      </c>
      <c r="K46" s="55">
        <f t="shared" si="10"/>
        <v>20663.999999999996</v>
      </c>
    </row>
    <row r="47" spans="1:12" s="21" customFormat="1" ht="16.5" customHeight="1" thickBot="1" x14ac:dyDescent="0.35">
      <c r="A47" s="30"/>
      <c r="B47" s="30"/>
      <c r="C47" s="33" t="s">
        <v>124</v>
      </c>
      <c r="D47" s="33"/>
      <c r="E47" s="35">
        <f t="shared" ref="E47:K47" si="11">E39+E46</f>
        <v>458600</v>
      </c>
      <c r="F47" s="35">
        <f>F39+F46</f>
        <v>5507</v>
      </c>
      <c r="G47" s="35">
        <f>G39+G46</f>
        <v>11811</v>
      </c>
      <c r="H47" s="35">
        <f>H39+H46</f>
        <v>64955</v>
      </c>
      <c r="I47" s="35">
        <f t="shared" si="11"/>
        <v>221019</v>
      </c>
      <c r="J47" s="35">
        <f t="shared" si="11"/>
        <v>113504</v>
      </c>
      <c r="K47" s="35">
        <f t="shared" si="11"/>
        <v>41804</v>
      </c>
    </row>
    <row r="48" spans="1:12" s="21" customFormat="1" ht="16.5" customHeight="1" x14ac:dyDescent="0.3">
      <c r="A48" s="30"/>
      <c r="B48" s="30"/>
      <c r="C48" s="22"/>
      <c r="D48" s="22"/>
      <c r="E48" s="22"/>
      <c r="F48" s="23"/>
      <c r="G48" s="23"/>
      <c r="H48" s="23"/>
      <c r="I48" s="23"/>
      <c r="J48" s="23"/>
      <c r="K48" s="23"/>
      <c r="L48" s="23"/>
    </row>
    <row r="49" spans="1:12" s="21" customFormat="1" ht="16.5" customHeight="1" x14ac:dyDescent="0.3">
      <c r="A49" s="30"/>
      <c r="B49" s="30"/>
      <c r="C49" s="22"/>
      <c r="D49" s="22"/>
      <c r="E49" s="22"/>
      <c r="F49" s="23"/>
      <c r="G49" s="23"/>
      <c r="H49" s="23"/>
      <c r="I49" s="23"/>
      <c r="J49" s="23"/>
      <c r="K49" s="23"/>
      <c r="L49" s="23"/>
    </row>
    <row r="50" spans="1:12" s="21" customFormat="1" ht="18.600000000000001" thickBot="1" x14ac:dyDescent="0.35">
      <c r="A50" s="30"/>
      <c r="B50" s="29" t="s">
        <v>316</v>
      </c>
      <c r="C50" s="22"/>
      <c r="D50" s="22"/>
      <c r="E50" s="22"/>
      <c r="F50" s="23"/>
      <c r="G50" s="23"/>
      <c r="H50" s="23"/>
      <c r="I50" s="23"/>
      <c r="J50" s="23"/>
      <c r="K50" s="23"/>
      <c r="L50" s="23"/>
    </row>
    <row r="51" spans="1:12" ht="16.5" customHeight="1" thickBot="1" x14ac:dyDescent="0.35">
      <c r="C51" s="33" t="s">
        <v>312</v>
      </c>
      <c r="D51" s="34"/>
      <c r="E51" s="34"/>
      <c r="F51" s="38" t="s">
        <v>102</v>
      </c>
      <c r="G51" s="34"/>
      <c r="H51" s="38" t="s">
        <v>103</v>
      </c>
      <c r="I51" s="34"/>
      <c r="J51" s="34"/>
      <c r="K51" s="34"/>
    </row>
    <row r="52" spans="1:12" ht="16.5" customHeight="1" thickBot="1" x14ac:dyDescent="0.35">
      <c r="C52" s="34"/>
      <c r="D52" s="33"/>
      <c r="E52" s="38" t="s">
        <v>50</v>
      </c>
      <c r="F52" s="38" t="s">
        <v>40</v>
      </c>
      <c r="G52" s="38" t="s">
        <v>140</v>
      </c>
      <c r="H52" s="38" t="s">
        <v>41</v>
      </c>
      <c r="I52" s="38" t="s">
        <v>42</v>
      </c>
      <c r="J52" s="38" t="s">
        <v>43</v>
      </c>
      <c r="K52" s="38" t="s">
        <v>44</v>
      </c>
    </row>
    <row r="53" spans="1:12" ht="16.5" customHeight="1" thickBot="1" x14ac:dyDescent="0.35">
      <c r="C53" s="33" t="s">
        <v>45</v>
      </c>
      <c r="D53" s="34"/>
      <c r="E53" s="52"/>
      <c r="F53" s="52"/>
      <c r="G53" s="52"/>
      <c r="H53" s="52"/>
      <c r="I53" s="52"/>
      <c r="J53" s="52"/>
      <c r="K53" s="52"/>
    </row>
    <row r="54" spans="1:12" ht="16.5" customHeight="1" thickBot="1" x14ac:dyDescent="0.35">
      <c r="C54" s="34" t="s">
        <v>62</v>
      </c>
      <c r="D54" s="34"/>
      <c r="E54" s="52">
        <f>SUM(F54:K54)</f>
        <v>2688</v>
      </c>
      <c r="F54" s="52">
        <f t="shared" ref="F54:K54" si="12">F21+F23</f>
        <v>27</v>
      </c>
      <c r="G54" s="52">
        <f t="shared" si="12"/>
        <v>40</v>
      </c>
      <c r="H54" s="52">
        <f t="shared" si="12"/>
        <v>207</v>
      </c>
      <c r="I54" s="52">
        <f t="shared" si="12"/>
        <v>1218</v>
      </c>
      <c r="J54" s="52">
        <f t="shared" si="12"/>
        <v>987</v>
      </c>
      <c r="K54" s="52">
        <f t="shared" si="12"/>
        <v>209</v>
      </c>
    </row>
    <row r="55" spans="1:12" ht="16.5" customHeight="1" thickBot="1" x14ac:dyDescent="0.35">
      <c r="C55" s="34" t="s">
        <v>49</v>
      </c>
      <c r="D55" s="34"/>
      <c r="E55" s="52">
        <f>(G21+G23)*0.9*220*7.5</f>
        <v>59400</v>
      </c>
      <c r="F55" s="52">
        <f t="shared" ref="F55:K55" si="13">$E55*F56</f>
        <v>594</v>
      </c>
      <c r="G55" s="52">
        <f>$E55*G56</f>
        <v>0</v>
      </c>
      <c r="H55" s="52">
        <f>$E55*H56</f>
        <v>11880</v>
      </c>
      <c r="I55" s="52">
        <f t="shared" si="13"/>
        <v>44550</v>
      </c>
      <c r="J55" s="52">
        <f t="shared" si="13"/>
        <v>1188</v>
      </c>
      <c r="K55" s="52">
        <f t="shared" si="13"/>
        <v>1188.0000000000011</v>
      </c>
    </row>
    <row r="56" spans="1:12" ht="16.5" hidden="1" customHeight="1" thickBot="1" x14ac:dyDescent="0.35">
      <c r="C56" s="34" t="s">
        <v>159</v>
      </c>
      <c r="D56" s="34"/>
      <c r="E56" s="50">
        <f>SUM(F56:K56)</f>
        <v>1</v>
      </c>
      <c r="F56" s="51">
        <v>0.01</v>
      </c>
      <c r="G56" s="51">
        <v>0</v>
      </c>
      <c r="H56" s="51">
        <v>0.2</v>
      </c>
      <c r="I56" s="51">
        <v>0.75</v>
      </c>
      <c r="J56" s="51">
        <v>0.02</v>
      </c>
      <c r="K56" s="50">
        <f>1-SUM(F56:J56)</f>
        <v>2.0000000000000018E-2</v>
      </c>
    </row>
    <row r="57" spans="1:12" ht="16.5" customHeight="1" thickBot="1" x14ac:dyDescent="0.35">
      <c r="C57" s="33" t="str">
        <f>C47</f>
        <v>Primäre Gemeinkosten [T€]</v>
      </c>
      <c r="D57" s="33"/>
      <c r="E57" s="35">
        <f t="shared" ref="E57:K57" si="14">E47</f>
        <v>458600</v>
      </c>
      <c r="F57" s="35">
        <f t="shared" si="14"/>
        <v>5507</v>
      </c>
      <c r="G57" s="35">
        <f t="shared" si="14"/>
        <v>11811</v>
      </c>
      <c r="H57" s="35">
        <f t="shared" si="14"/>
        <v>64955</v>
      </c>
      <c r="I57" s="35">
        <f t="shared" si="14"/>
        <v>221019</v>
      </c>
      <c r="J57" s="35">
        <f t="shared" si="14"/>
        <v>113504</v>
      </c>
      <c r="K57" s="35">
        <f t="shared" si="14"/>
        <v>41804</v>
      </c>
    </row>
    <row r="58" spans="1:12" ht="16.5" customHeight="1" thickBot="1" x14ac:dyDescent="0.35">
      <c r="C58" s="33" t="s">
        <v>80</v>
      </c>
      <c r="D58" s="33" t="s">
        <v>51</v>
      </c>
      <c r="E58" s="38"/>
      <c r="F58" s="38"/>
      <c r="G58" s="38"/>
      <c r="H58" s="38"/>
      <c r="I58" s="38"/>
      <c r="J58" s="38"/>
      <c r="K58" s="38"/>
    </row>
    <row r="59" spans="1:12" ht="16.5" customHeight="1" thickBot="1" x14ac:dyDescent="0.35">
      <c r="C59" s="34" t="s">
        <v>81</v>
      </c>
      <c r="D59" s="34" t="s">
        <v>62</v>
      </c>
      <c r="E59" s="52">
        <f>SUM(F59:K59)</f>
        <v>5507</v>
      </c>
      <c r="F59" s="52"/>
      <c r="G59" s="54">
        <f>ROUND($F57*G54/(SUM($G54:$K54)),0)</f>
        <v>83</v>
      </c>
      <c r="H59" s="54">
        <f>ROUND($F57*H54/(SUM($G54:$K54)),0)</f>
        <v>428</v>
      </c>
      <c r="I59" s="54">
        <f>ROUND($F57*I54/(SUM($G54:$K54)),0)</f>
        <v>2521</v>
      </c>
      <c r="J59" s="54">
        <f>ROUNDDOWN($F57*J54/(SUM($G54:$K54)),0)</f>
        <v>2042</v>
      </c>
      <c r="K59" s="54">
        <f>ROUND($F57*K54/(SUM($G54:$K54)),0)</f>
        <v>433</v>
      </c>
    </row>
    <row r="60" spans="1:12" ht="16.5" customHeight="1" thickBot="1" x14ac:dyDescent="0.35">
      <c r="C60" s="33" t="s">
        <v>82</v>
      </c>
      <c r="D60" s="33"/>
      <c r="E60" s="35">
        <f>SUM(F60:K60)</f>
        <v>458600</v>
      </c>
      <c r="F60" s="33"/>
      <c r="G60" s="35">
        <f>G57+G59</f>
        <v>11894</v>
      </c>
      <c r="H60" s="35">
        <f>H57+H59</f>
        <v>65383</v>
      </c>
      <c r="I60" s="35">
        <f>I57+I59</f>
        <v>223540</v>
      </c>
      <c r="J60" s="35">
        <f>J57+J59</f>
        <v>115546</v>
      </c>
      <c r="K60" s="35">
        <f>K57+K59</f>
        <v>42237</v>
      </c>
    </row>
    <row r="61" spans="1:12" ht="16.5" customHeight="1" thickBot="1" x14ac:dyDescent="0.35">
      <c r="C61" s="34" t="s">
        <v>83</v>
      </c>
      <c r="D61" s="34" t="s">
        <v>68</v>
      </c>
      <c r="E61" s="52">
        <f>SUM(F61:K61)</f>
        <v>11894</v>
      </c>
      <c r="F61" s="34"/>
      <c r="G61" s="34"/>
      <c r="H61" s="54">
        <f>ROUND($G60*H55/SUM($H55:$K55),0)</f>
        <v>2403</v>
      </c>
      <c r="I61" s="54">
        <f>ROUND($G60*I55/SUM($H55:$K55),0)</f>
        <v>9011</v>
      </c>
      <c r="J61" s="54">
        <f>ROUND($G60*J55/SUM($H55:$K55),0)</f>
        <v>240</v>
      </c>
      <c r="K61" s="54">
        <f>ROUND($G60*K55/SUM($H55:$K55),0)</f>
        <v>240</v>
      </c>
    </row>
    <row r="62" spans="1:12" ht="16.5" customHeight="1" thickBot="1" x14ac:dyDescent="0.35">
      <c r="C62" s="33" t="s">
        <v>125</v>
      </c>
      <c r="D62" s="33"/>
      <c r="E62" s="35">
        <f>SUM(F62:K62)</f>
        <v>458600</v>
      </c>
      <c r="F62" s="33"/>
      <c r="G62" s="33"/>
      <c r="H62" s="35">
        <f>H60+H61</f>
        <v>67786</v>
      </c>
      <c r="I62" s="35">
        <f>I60+I61</f>
        <v>232551</v>
      </c>
      <c r="J62" s="35">
        <f>J60+J61</f>
        <v>115786</v>
      </c>
      <c r="K62" s="35">
        <f>K60+K61</f>
        <v>42477</v>
      </c>
    </row>
    <row r="63" spans="1:12" ht="16.5" customHeight="1" thickBot="1" x14ac:dyDescent="0.35">
      <c r="C63" s="34" t="s">
        <v>115</v>
      </c>
      <c r="D63" s="34"/>
      <c r="E63" s="34"/>
      <c r="F63" s="34"/>
      <c r="G63" s="34"/>
      <c r="H63" s="39" t="s">
        <v>127</v>
      </c>
      <c r="I63" s="39" t="s">
        <v>126</v>
      </c>
      <c r="J63" s="39" t="s">
        <v>128</v>
      </c>
      <c r="K63" s="39" t="s">
        <v>129</v>
      </c>
    </row>
    <row r="64" spans="1:12" ht="16.5" customHeight="1" x14ac:dyDescent="0.3"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2:12" ht="17.25" customHeight="1" x14ac:dyDescent="0.3"/>
    <row r="66" spans="2:12" ht="18.600000000000001" thickBot="1" x14ac:dyDescent="0.35">
      <c r="B66" s="29" t="s">
        <v>315</v>
      </c>
      <c r="D66" s="5"/>
      <c r="E66" s="5"/>
      <c r="F66" s="5"/>
      <c r="G66" s="5"/>
      <c r="H66" s="20"/>
      <c r="I66" s="20"/>
      <c r="J66" s="20"/>
      <c r="K66" s="20"/>
      <c r="L66" s="20"/>
    </row>
    <row r="67" spans="2:12" ht="16.5" customHeight="1" thickBot="1" x14ac:dyDescent="0.35">
      <c r="C67" s="56" t="s">
        <v>306</v>
      </c>
      <c r="D67" s="38" t="s">
        <v>136</v>
      </c>
      <c r="E67" s="38" t="s">
        <v>59</v>
      </c>
      <c r="F67" s="38" t="s">
        <v>60</v>
      </c>
      <c r="H67" s="22"/>
    </row>
    <row r="68" spans="2:12" ht="16.5" customHeight="1" thickBot="1" x14ac:dyDescent="0.4">
      <c r="C68" s="34" t="s">
        <v>307</v>
      </c>
      <c r="D68" s="58">
        <f>E47+D95+D102</f>
        <v>1023450.2</v>
      </c>
      <c r="E68" s="57"/>
      <c r="F68" s="57"/>
      <c r="H68" s="7"/>
    </row>
    <row r="69" spans="2:12" ht="16.5" customHeight="1" thickBot="1" x14ac:dyDescent="0.35">
      <c r="C69" s="34" t="s">
        <v>308</v>
      </c>
      <c r="D69" s="58"/>
      <c r="E69" s="60">
        <f>E93</f>
        <v>85000</v>
      </c>
      <c r="F69" s="60">
        <f>F93</f>
        <v>40000</v>
      </c>
      <c r="H69" s="7"/>
    </row>
    <row r="70" spans="2:12" ht="16.5" customHeight="1" thickBot="1" x14ac:dyDescent="0.4">
      <c r="C70" s="59" t="s">
        <v>309</v>
      </c>
      <c r="D70" s="60">
        <f>E93+F93</f>
        <v>125000</v>
      </c>
      <c r="E70" s="57"/>
      <c r="F70" s="57"/>
      <c r="H70" s="7"/>
    </row>
    <row r="71" spans="2:12" ht="16.5" customHeight="1" thickBot="1" x14ac:dyDescent="0.4">
      <c r="C71" s="33" t="s">
        <v>310</v>
      </c>
      <c r="D71" s="61">
        <f>D68/D70*1000</f>
        <v>8187.6015999999991</v>
      </c>
      <c r="E71" s="57"/>
      <c r="F71" s="57"/>
      <c r="H71" s="7"/>
    </row>
    <row r="72" spans="2:12" ht="16.5" customHeight="1" thickBot="1" x14ac:dyDescent="0.4">
      <c r="C72" s="34" t="s">
        <v>311</v>
      </c>
      <c r="D72" s="61"/>
      <c r="E72" s="57"/>
      <c r="F72" s="57"/>
      <c r="H72" s="7"/>
    </row>
    <row r="73" spans="2:12" ht="16.5" customHeight="1" thickBot="1" x14ac:dyDescent="0.35">
      <c r="C73" s="33" t="s">
        <v>160</v>
      </c>
      <c r="D73" s="61"/>
      <c r="E73" s="61">
        <f>D71</f>
        <v>8187.6015999999991</v>
      </c>
      <c r="F73" s="61">
        <f>D71</f>
        <v>8187.6015999999991</v>
      </c>
      <c r="H73" s="7"/>
    </row>
    <row r="74" spans="2:12" ht="17.25" customHeight="1" x14ac:dyDescent="0.3">
      <c r="C74" s="20"/>
      <c r="D74" s="20"/>
      <c r="G74" s="20"/>
      <c r="H74" s="20"/>
      <c r="I74" s="20"/>
      <c r="J74" s="20"/>
      <c r="K74" s="20"/>
      <c r="L74" s="20"/>
    </row>
    <row r="75" spans="2:12" ht="17.25" customHeight="1" x14ac:dyDescent="0.3"/>
    <row r="76" spans="2:12" ht="18.600000000000001" thickBot="1" x14ac:dyDescent="0.35">
      <c r="B76" s="29" t="s">
        <v>318</v>
      </c>
      <c r="D76" s="5"/>
      <c r="E76" s="5"/>
      <c r="F76" s="5"/>
      <c r="G76" s="5"/>
      <c r="H76" s="20"/>
      <c r="I76" s="20"/>
      <c r="J76" s="20"/>
      <c r="K76" s="20"/>
      <c r="L76" s="20"/>
    </row>
    <row r="77" spans="2:12" ht="16.5" customHeight="1" thickBot="1" x14ac:dyDescent="0.35">
      <c r="C77" s="56" t="s">
        <v>317</v>
      </c>
      <c r="D77" s="38" t="s">
        <v>136</v>
      </c>
      <c r="E77" s="38" t="s">
        <v>59</v>
      </c>
      <c r="F77" s="38" t="s">
        <v>60</v>
      </c>
      <c r="H77" s="22"/>
    </row>
    <row r="78" spans="2:12" ht="16.5" customHeight="1" thickBot="1" x14ac:dyDescent="0.35">
      <c r="C78" s="33"/>
      <c r="D78" s="33"/>
      <c r="E78" s="33"/>
      <c r="F78" s="33"/>
      <c r="H78" s="22"/>
    </row>
    <row r="79" spans="2:12" ht="16.5" customHeight="1" thickBot="1" x14ac:dyDescent="0.35">
      <c r="C79" s="34" t="s">
        <v>161</v>
      </c>
      <c r="D79" s="58">
        <f>E47+D95+D102</f>
        <v>1023450.2</v>
      </c>
      <c r="E79" s="60"/>
      <c r="F79" s="60"/>
      <c r="H79" s="7"/>
    </row>
    <row r="80" spans="2:12" ht="16.5" customHeight="1" thickBot="1" x14ac:dyDescent="0.35">
      <c r="C80" s="34" t="s">
        <v>237</v>
      </c>
      <c r="D80" s="60">
        <f>E80+F80</f>
        <v>125000</v>
      </c>
      <c r="E80" s="60">
        <f>E93</f>
        <v>85000</v>
      </c>
      <c r="F80" s="60">
        <f>F93</f>
        <v>40000</v>
      </c>
      <c r="H80" s="7"/>
    </row>
    <row r="81" spans="2:12" ht="16.5" customHeight="1" thickBot="1" x14ac:dyDescent="0.35">
      <c r="C81" s="34" t="s">
        <v>241</v>
      </c>
      <c r="D81" s="46"/>
      <c r="E81" s="64">
        <v>1</v>
      </c>
      <c r="F81" s="64">
        <v>1.2</v>
      </c>
      <c r="H81" s="7"/>
    </row>
    <row r="82" spans="2:12" ht="16.5" customHeight="1" thickBot="1" x14ac:dyDescent="0.35">
      <c r="C82" s="33" t="s">
        <v>169</v>
      </c>
      <c r="D82" s="60"/>
      <c r="E82" s="65">
        <f>E80*E81</f>
        <v>85000</v>
      </c>
      <c r="F82" s="65">
        <f>F80*F81</f>
        <v>48000</v>
      </c>
      <c r="H82" s="7"/>
    </row>
    <row r="83" spans="2:12" ht="16.5" customHeight="1" thickBot="1" x14ac:dyDescent="0.35">
      <c r="C83" s="34" t="s">
        <v>170</v>
      </c>
      <c r="D83" s="60">
        <f>E82+F82</f>
        <v>133000</v>
      </c>
      <c r="E83" s="60"/>
      <c r="F83" s="60"/>
      <c r="H83" s="7"/>
    </row>
    <row r="84" spans="2:12" ht="16.5" customHeight="1" thickBot="1" x14ac:dyDescent="0.35">
      <c r="C84" s="33" t="s">
        <v>238</v>
      </c>
      <c r="D84" s="61">
        <f>ROUND(D79/D83*1000,2)</f>
        <v>7695.11</v>
      </c>
      <c r="E84" s="66"/>
      <c r="F84" s="66"/>
      <c r="H84" s="7"/>
    </row>
    <row r="85" spans="2:12" ht="16.5" customHeight="1" thickBot="1" x14ac:dyDescent="0.35">
      <c r="C85" s="34" t="s">
        <v>241</v>
      </c>
      <c r="D85" s="66"/>
      <c r="E85" s="64">
        <f>E81</f>
        <v>1</v>
      </c>
      <c r="F85" s="64">
        <f>F81</f>
        <v>1.2</v>
      </c>
      <c r="H85" s="7"/>
    </row>
    <row r="86" spans="2:12" ht="16.5" customHeight="1" thickBot="1" x14ac:dyDescent="0.35">
      <c r="C86" s="33" t="s">
        <v>171</v>
      </c>
      <c r="D86" s="67"/>
      <c r="E86" s="61">
        <f>ROUND($D84*E81,2)</f>
        <v>7695.11</v>
      </c>
      <c r="F86" s="61">
        <f>ROUND($D84*F81,2)</f>
        <v>9234.1299999999992</v>
      </c>
      <c r="H86" s="7"/>
      <c r="I86" s="26"/>
    </row>
    <row r="87" spans="2:12" ht="17.25" customHeight="1" x14ac:dyDescent="0.3">
      <c r="C87" s="20"/>
      <c r="D87" s="20"/>
      <c r="G87" s="20"/>
      <c r="H87" s="20"/>
      <c r="I87" s="20"/>
      <c r="J87" s="20"/>
      <c r="K87" s="20"/>
      <c r="L87" s="20"/>
    </row>
    <row r="88" spans="2:12" ht="17.25" customHeight="1" x14ac:dyDescent="0.3">
      <c r="C88" s="20"/>
      <c r="D88" s="20"/>
      <c r="G88" s="20"/>
      <c r="H88" s="20"/>
      <c r="I88" s="20"/>
      <c r="J88" s="20"/>
      <c r="K88" s="20"/>
      <c r="L88" s="20"/>
    </row>
    <row r="89" spans="2:12" ht="18.600000000000001" thickBot="1" x14ac:dyDescent="0.35">
      <c r="B89" s="29" t="s">
        <v>320</v>
      </c>
      <c r="D89" s="5"/>
      <c r="E89" s="5"/>
      <c r="F89" s="5"/>
      <c r="G89" s="5"/>
      <c r="H89" s="20"/>
      <c r="I89" s="20"/>
      <c r="J89" s="20"/>
      <c r="K89" s="20"/>
      <c r="L89" s="20"/>
    </row>
    <row r="90" spans="2:12" ht="16.5" customHeight="1" thickBot="1" x14ac:dyDescent="0.35">
      <c r="C90" s="56" t="s">
        <v>319</v>
      </c>
      <c r="D90" s="38" t="s">
        <v>136</v>
      </c>
      <c r="E90" s="38" t="s">
        <v>59</v>
      </c>
      <c r="F90" s="38" t="s">
        <v>60</v>
      </c>
      <c r="H90" s="22"/>
      <c r="I90" s="24"/>
    </row>
    <row r="91" spans="2:12" ht="16.5" customHeight="1" thickBot="1" x14ac:dyDescent="0.35">
      <c r="C91" s="68" t="s">
        <v>321</v>
      </c>
      <c r="D91" s="46">
        <f>H62</f>
        <v>67786</v>
      </c>
      <c r="E91" s="39"/>
      <c r="F91" s="39"/>
      <c r="H91" s="22"/>
      <c r="I91" s="24"/>
    </row>
    <row r="92" spans="2:12" ht="16.5" customHeight="1" thickBot="1" x14ac:dyDescent="0.35">
      <c r="C92" s="68" t="s">
        <v>137</v>
      </c>
      <c r="D92" s="58"/>
      <c r="E92" s="78">
        <f>E117</f>
        <v>3745.86</v>
      </c>
      <c r="F92" s="78">
        <f>F117</f>
        <v>4495.04</v>
      </c>
      <c r="H92" s="7"/>
    </row>
    <row r="93" spans="2:12" ht="16.5" customHeight="1" thickBot="1" x14ac:dyDescent="0.35">
      <c r="C93" s="68" t="s">
        <v>322</v>
      </c>
      <c r="D93" s="59"/>
      <c r="E93" s="60">
        <f>'Kapitel 01 Fallbeispiel'!D4</f>
        <v>85000</v>
      </c>
      <c r="F93" s="60">
        <f>'Kapitel 01 Fallbeispiel'!E4</f>
        <v>40000</v>
      </c>
      <c r="H93" s="7"/>
    </row>
    <row r="94" spans="2:12" ht="16.5" customHeight="1" thickBot="1" x14ac:dyDescent="0.35">
      <c r="C94" s="68" t="s">
        <v>323</v>
      </c>
      <c r="D94" s="34"/>
      <c r="E94" s="46">
        <f>E92*E93/1000</f>
        <v>318398.09999999998</v>
      </c>
      <c r="F94" s="46">
        <f>F92*F93/1000</f>
        <v>179801.60000000001</v>
      </c>
      <c r="H94" s="7"/>
    </row>
    <row r="95" spans="2:12" ht="16.5" customHeight="1" thickBot="1" x14ac:dyDescent="0.35">
      <c r="C95" s="68" t="s">
        <v>324</v>
      </c>
      <c r="D95" s="46">
        <f>E94+F94</f>
        <v>498199.69999999995</v>
      </c>
      <c r="E95" s="46"/>
      <c r="F95" s="46"/>
      <c r="H95" s="7"/>
    </row>
    <row r="96" spans="2:12" ht="16.5" customHeight="1" thickBot="1" x14ac:dyDescent="0.35">
      <c r="C96" s="56" t="s">
        <v>325</v>
      </c>
      <c r="D96" s="69">
        <f>ROUND(H62/D95,3)</f>
        <v>0.13600000000000001</v>
      </c>
      <c r="E96" s="46"/>
      <c r="F96" s="46"/>
      <c r="H96" s="7"/>
    </row>
    <row r="97" spans="3:12" ht="16.5" customHeight="1" thickBot="1" x14ac:dyDescent="0.35">
      <c r="C97" s="68"/>
      <c r="D97" s="82"/>
      <c r="E97" s="46"/>
      <c r="F97" s="46"/>
      <c r="H97" s="7"/>
    </row>
    <row r="98" spans="3:12" ht="16.5" customHeight="1" thickBot="1" x14ac:dyDescent="0.35">
      <c r="C98" s="68" t="s">
        <v>344</v>
      </c>
      <c r="D98" s="46">
        <f>I62</f>
        <v>232551</v>
      </c>
      <c r="E98" s="46"/>
      <c r="F98" s="46"/>
      <c r="H98" s="7"/>
    </row>
    <row r="99" spans="3:12" ht="16.5" customHeight="1" thickBot="1" x14ac:dyDescent="0.35">
      <c r="C99" s="68" t="s">
        <v>138</v>
      </c>
      <c r="D99" s="58"/>
      <c r="E99" s="78">
        <f>E124</f>
        <v>486.5</v>
      </c>
      <c r="F99" s="78">
        <f>F124</f>
        <v>632.45000000000005</v>
      </c>
      <c r="H99" s="7"/>
    </row>
    <row r="100" spans="3:12" ht="16.5" customHeight="1" thickBot="1" x14ac:dyDescent="0.35">
      <c r="C100" s="68" t="str">
        <f>C93</f>
        <v>Produktionstückzahl je Jahr</v>
      </c>
      <c r="D100" s="58"/>
      <c r="E100" s="60">
        <f>E93</f>
        <v>85000</v>
      </c>
      <c r="F100" s="60">
        <f>F93</f>
        <v>40000</v>
      </c>
      <c r="H100" s="7"/>
    </row>
    <row r="101" spans="3:12" ht="16.5" customHeight="1" thickBot="1" x14ac:dyDescent="0.35">
      <c r="C101" s="68" t="s">
        <v>139</v>
      </c>
      <c r="D101" s="34"/>
      <c r="E101" s="46">
        <f>E99*E93/1000</f>
        <v>41352.5</v>
      </c>
      <c r="F101" s="46">
        <f>F99*F93/1000</f>
        <v>25298</v>
      </c>
      <c r="H101" s="7"/>
    </row>
    <row r="102" spans="3:12" ht="16.5" customHeight="1" thickBot="1" x14ac:dyDescent="0.35">
      <c r="C102" s="68" t="s">
        <v>345</v>
      </c>
      <c r="D102" s="46">
        <f>E101+F101</f>
        <v>66650.5</v>
      </c>
      <c r="E102" s="46"/>
      <c r="F102" s="46"/>
      <c r="H102" s="7"/>
    </row>
    <row r="103" spans="3:12" ht="16.5" customHeight="1" thickBot="1" x14ac:dyDescent="0.35">
      <c r="C103" s="56" t="s">
        <v>346</v>
      </c>
      <c r="D103" s="69">
        <f>ROUND(I62/D102,3)</f>
        <v>3.4889999999999999</v>
      </c>
      <c r="E103" s="46"/>
      <c r="F103" s="46"/>
      <c r="H103" s="7"/>
    </row>
    <row r="104" spans="3:12" ht="16.5" customHeight="1" thickBot="1" x14ac:dyDescent="0.35">
      <c r="C104" s="68"/>
      <c r="D104" s="82"/>
      <c r="E104" s="46"/>
      <c r="F104" s="46"/>
      <c r="H104" s="7"/>
    </row>
    <row r="105" spans="3:12" ht="16.5" customHeight="1" thickBot="1" x14ac:dyDescent="0.35">
      <c r="C105" s="68" t="s">
        <v>347</v>
      </c>
      <c r="D105" s="46">
        <f>J62</f>
        <v>115786</v>
      </c>
      <c r="E105" s="46"/>
      <c r="F105" s="46"/>
      <c r="H105" s="7"/>
    </row>
    <row r="106" spans="3:12" ht="16.5" customHeight="1" thickBot="1" x14ac:dyDescent="0.35">
      <c r="C106" s="68" t="s">
        <v>348</v>
      </c>
      <c r="D106" s="46">
        <f>H62+D95+I62+D102</f>
        <v>865187.2</v>
      </c>
      <c r="E106" s="46"/>
      <c r="F106" s="46"/>
      <c r="H106" s="7"/>
    </row>
    <row r="107" spans="3:12" ht="16.5" customHeight="1" thickBot="1" x14ac:dyDescent="0.35">
      <c r="C107" s="56" t="s">
        <v>350</v>
      </c>
      <c r="D107" s="69">
        <f>ROUND(J62/D106,3)</f>
        <v>0.13400000000000001</v>
      </c>
      <c r="E107" s="46"/>
      <c r="F107" s="46"/>
      <c r="H107" s="7"/>
    </row>
    <row r="108" spans="3:12" ht="16.5" customHeight="1" thickBot="1" x14ac:dyDescent="0.35">
      <c r="C108" s="68"/>
      <c r="D108" s="82"/>
      <c r="E108" s="46"/>
      <c r="F108" s="46"/>
      <c r="H108" s="7"/>
    </row>
    <row r="109" spans="3:12" ht="16.5" customHeight="1" thickBot="1" x14ac:dyDescent="0.35">
      <c r="C109" s="68" t="s">
        <v>349</v>
      </c>
      <c r="D109" s="46">
        <f>K62</f>
        <v>42477</v>
      </c>
      <c r="E109" s="46"/>
      <c r="F109" s="46"/>
      <c r="H109" s="7"/>
    </row>
    <row r="110" spans="3:12" ht="16.5" customHeight="1" thickBot="1" x14ac:dyDescent="0.35">
      <c r="C110" s="68" t="s">
        <v>348</v>
      </c>
      <c r="D110" s="46">
        <f>H62+D95+I62+D102</f>
        <v>865187.2</v>
      </c>
      <c r="E110" s="46"/>
      <c r="F110" s="46"/>
      <c r="H110" s="7"/>
    </row>
    <row r="111" spans="3:12" ht="16.5" customHeight="1" thickBot="1" x14ac:dyDescent="0.35">
      <c r="C111" s="56" t="s">
        <v>351</v>
      </c>
      <c r="D111" s="69">
        <f>ROUND(K62/D110,3)</f>
        <v>4.9000000000000002E-2</v>
      </c>
      <c r="E111" s="46"/>
      <c r="F111" s="46"/>
      <c r="H111" s="7"/>
    </row>
    <row r="112" spans="3:12" ht="16.5" customHeight="1" x14ac:dyDescent="0.3">
      <c r="G112" s="20"/>
      <c r="H112" s="20"/>
      <c r="I112" s="20"/>
      <c r="J112" s="20"/>
      <c r="K112" s="20"/>
      <c r="L112" s="20"/>
    </row>
    <row r="113" spans="2:12" ht="16.5" customHeight="1" x14ac:dyDescent="0.3"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2:12" ht="18.600000000000001" thickBot="1" x14ac:dyDescent="0.35">
      <c r="B114" s="29" t="s">
        <v>326</v>
      </c>
      <c r="D114" s="5"/>
      <c r="E114" s="5"/>
      <c r="F114" s="5"/>
      <c r="G114" s="5"/>
      <c r="H114" s="20"/>
      <c r="I114" s="20"/>
      <c r="J114" s="20"/>
      <c r="K114" s="20"/>
      <c r="L114" s="20"/>
    </row>
    <row r="115" spans="2:12" ht="16.5" customHeight="1" thickBot="1" x14ac:dyDescent="0.35">
      <c r="C115" s="33" t="s">
        <v>327</v>
      </c>
      <c r="D115" s="33"/>
      <c r="E115" s="38" t="s">
        <v>59</v>
      </c>
      <c r="F115" s="38" t="s">
        <v>60</v>
      </c>
    </row>
    <row r="116" spans="2:12" ht="16.5" customHeight="1" thickBot="1" x14ac:dyDescent="0.35">
      <c r="C116" s="33" t="s">
        <v>63</v>
      </c>
      <c r="D116" s="33"/>
      <c r="E116" s="34"/>
      <c r="F116" s="34"/>
    </row>
    <row r="117" spans="2:12" ht="16.5" customHeight="1" thickBot="1" x14ac:dyDescent="0.35">
      <c r="C117" s="34" t="s">
        <v>92</v>
      </c>
      <c r="D117" s="66"/>
      <c r="E117" s="66">
        <f>ROUND(E4*E93*E118/(E93*E118+F93*F118)/E93*1000,2)</f>
        <v>3745.86</v>
      </c>
      <c r="F117" s="66">
        <f>ROUND(E4*F93*F118/(E93*E118+F93*F118)/F93*1000,2)</f>
        <v>4495.04</v>
      </c>
    </row>
    <row r="118" spans="2:12" ht="16.5" hidden="1" customHeight="1" thickBot="1" x14ac:dyDescent="0.35">
      <c r="C118" s="34" t="s">
        <v>143</v>
      </c>
      <c r="D118" s="70"/>
      <c r="E118" s="70">
        <v>1</v>
      </c>
      <c r="F118" s="70">
        <v>1.2</v>
      </c>
    </row>
    <row r="119" spans="2:12" ht="16.5" customHeight="1" thickBot="1" x14ac:dyDescent="0.35">
      <c r="C119" s="34" t="s">
        <v>336</v>
      </c>
      <c r="D119" s="71"/>
      <c r="E119" s="71">
        <f>D96</f>
        <v>0.13600000000000001</v>
      </c>
      <c r="F119" s="71">
        <f>D96</f>
        <v>0.13600000000000001</v>
      </c>
    </row>
    <row r="120" spans="2:12" ht="16.5" customHeight="1" thickBot="1" x14ac:dyDescent="0.35">
      <c r="C120" s="34" t="s">
        <v>337</v>
      </c>
      <c r="D120" s="66"/>
      <c r="E120" s="66">
        <f>ROUND(E117*E119,2)</f>
        <v>509.44</v>
      </c>
      <c r="F120" s="66">
        <f>ROUND(F117*F119,2)</f>
        <v>611.33000000000004</v>
      </c>
    </row>
    <row r="121" spans="2:12" ht="16.5" customHeight="1" thickBot="1" x14ac:dyDescent="0.35">
      <c r="C121" s="33" t="s">
        <v>91</v>
      </c>
      <c r="D121" s="72"/>
      <c r="E121" s="72">
        <f>ROUND(E117+E120,2)</f>
        <v>4255.3</v>
      </c>
      <c r="F121" s="72">
        <f>ROUND(F117+F120,2)</f>
        <v>5106.37</v>
      </c>
    </row>
    <row r="122" spans="2:12" ht="16.5" customHeight="1" thickBot="1" x14ac:dyDescent="0.35">
      <c r="C122" s="33"/>
      <c r="D122" s="72"/>
      <c r="E122" s="72"/>
      <c r="F122" s="72"/>
    </row>
    <row r="123" spans="2:12" ht="16.5" customHeight="1" thickBot="1" x14ac:dyDescent="0.35">
      <c r="C123" s="33" t="s">
        <v>64</v>
      </c>
      <c r="D123" s="33"/>
      <c r="E123" s="33"/>
      <c r="F123" s="33"/>
    </row>
    <row r="124" spans="2:12" ht="16.5" customHeight="1" thickBot="1" x14ac:dyDescent="0.35">
      <c r="C124" s="34" t="s">
        <v>93</v>
      </c>
      <c r="D124" s="66"/>
      <c r="E124" s="66">
        <f>ROUND(E5*E93*E125/(E93*E125+F93*F125)/E93*1000,2)</f>
        <v>486.5</v>
      </c>
      <c r="F124" s="66">
        <f>ROUND(E5*F93*F125/(E93*E125+F93*F125)/F93*1000,2)</f>
        <v>632.45000000000005</v>
      </c>
    </row>
    <row r="125" spans="2:12" ht="16.5" hidden="1" customHeight="1" thickBot="1" x14ac:dyDescent="0.35">
      <c r="C125" s="34" t="s">
        <v>144</v>
      </c>
      <c r="D125" s="70"/>
      <c r="E125" s="70">
        <v>1</v>
      </c>
      <c r="F125" s="70">
        <v>1.3</v>
      </c>
    </row>
    <row r="126" spans="2:12" ht="16.5" customHeight="1" thickBot="1" x14ac:dyDescent="0.35">
      <c r="C126" s="34" t="s">
        <v>338</v>
      </c>
      <c r="D126" s="71"/>
      <c r="E126" s="71">
        <f>D103</f>
        <v>3.4889999999999999</v>
      </c>
      <c r="F126" s="71">
        <f>D103</f>
        <v>3.4889999999999999</v>
      </c>
    </row>
    <row r="127" spans="2:12" ht="16.5" customHeight="1" thickBot="1" x14ac:dyDescent="0.35">
      <c r="C127" s="34" t="s">
        <v>339</v>
      </c>
      <c r="D127" s="66"/>
      <c r="E127" s="66">
        <f>ROUND(E124*E126,2)</f>
        <v>1697.4</v>
      </c>
      <c r="F127" s="66">
        <f>ROUND(F124*F126,2)</f>
        <v>2206.62</v>
      </c>
    </row>
    <row r="128" spans="2:12" ht="16.5" hidden="1" customHeight="1" thickBot="1" x14ac:dyDescent="0.35">
      <c r="C128" s="34" t="s">
        <v>114</v>
      </c>
      <c r="D128" s="66"/>
      <c r="E128" s="66">
        <v>0</v>
      </c>
      <c r="F128" s="66">
        <v>0</v>
      </c>
    </row>
    <row r="129" spans="3:9" ht="16.5" customHeight="1" thickBot="1" x14ac:dyDescent="0.35">
      <c r="C129" s="33" t="s">
        <v>94</v>
      </c>
      <c r="D129" s="72"/>
      <c r="E129" s="72">
        <f>ROUND(E124+E127+E128,2)</f>
        <v>2183.9</v>
      </c>
      <c r="F129" s="72">
        <f>ROUND(F124+F127+F128,2)</f>
        <v>2839.07</v>
      </c>
      <c r="I129" s="26"/>
    </row>
    <row r="130" spans="3:9" ht="16.5" customHeight="1" thickBot="1" x14ac:dyDescent="0.35">
      <c r="C130" s="33"/>
      <c r="D130" s="72"/>
      <c r="E130" s="72"/>
      <c r="F130" s="72"/>
    </row>
    <row r="131" spans="3:9" ht="16.5" customHeight="1" thickBot="1" x14ac:dyDescent="0.35">
      <c r="C131" s="33" t="s">
        <v>58</v>
      </c>
      <c r="D131" s="33"/>
      <c r="E131" s="33"/>
      <c r="F131" s="33"/>
    </row>
    <row r="132" spans="3:9" ht="16.5" customHeight="1" thickBot="1" x14ac:dyDescent="0.35">
      <c r="C132" s="34" t="s">
        <v>95</v>
      </c>
      <c r="D132" s="66"/>
      <c r="E132" s="66">
        <f>E121</f>
        <v>4255.3</v>
      </c>
      <c r="F132" s="66">
        <f>F121</f>
        <v>5106.37</v>
      </c>
    </row>
    <row r="133" spans="3:9" ht="16.5" customHeight="1" thickBot="1" x14ac:dyDescent="0.35">
      <c r="C133" s="34" t="s">
        <v>90</v>
      </c>
      <c r="D133" s="66"/>
      <c r="E133" s="66">
        <f>E129</f>
        <v>2183.9</v>
      </c>
      <c r="F133" s="66">
        <f>F129</f>
        <v>2839.07</v>
      </c>
    </row>
    <row r="134" spans="3:9" ht="16.5" customHeight="1" thickBot="1" x14ac:dyDescent="0.35">
      <c r="C134" s="33" t="s">
        <v>96</v>
      </c>
      <c r="D134" s="72"/>
      <c r="E134" s="72">
        <f>E121+E129</f>
        <v>6439.2000000000007</v>
      </c>
      <c r="F134" s="72">
        <f>F121+F129</f>
        <v>7945.4400000000005</v>
      </c>
    </row>
    <row r="135" spans="3:9" ht="16.5" customHeight="1" thickBot="1" x14ac:dyDescent="0.35">
      <c r="C135" s="33"/>
      <c r="D135" s="72"/>
      <c r="E135" s="72"/>
      <c r="F135" s="72"/>
    </row>
    <row r="136" spans="3:9" ht="16.5" customHeight="1" thickBot="1" x14ac:dyDescent="0.35">
      <c r="C136" s="33" t="s">
        <v>85</v>
      </c>
      <c r="D136" s="33"/>
      <c r="E136" s="33"/>
      <c r="F136" s="33"/>
    </row>
    <row r="137" spans="3:9" ht="16.5" customHeight="1" thickBot="1" x14ac:dyDescent="0.35">
      <c r="C137" s="34" t="s">
        <v>97</v>
      </c>
      <c r="D137" s="66"/>
      <c r="E137" s="66">
        <f>E134</f>
        <v>6439.2000000000007</v>
      </c>
      <c r="F137" s="66">
        <f>F134</f>
        <v>7945.4400000000005</v>
      </c>
    </row>
    <row r="138" spans="3:9" ht="16.5" customHeight="1" thickBot="1" x14ac:dyDescent="0.35">
      <c r="C138" s="34" t="s">
        <v>340</v>
      </c>
      <c r="D138" s="71"/>
      <c r="E138" s="71">
        <f>D107</f>
        <v>0.13400000000000001</v>
      </c>
      <c r="F138" s="71">
        <f>D107</f>
        <v>0.13400000000000001</v>
      </c>
    </row>
    <row r="139" spans="3:9" ht="16.5" customHeight="1" thickBot="1" x14ac:dyDescent="0.35">
      <c r="C139" s="34" t="s">
        <v>341</v>
      </c>
      <c r="D139" s="66"/>
      <c r="E139" s="66">
        <f>ROUND(E134*E138,2)</f>
        <v>862.85</v>
      </c>
      <c r="F139" s="66">
        <f>ROUND(F134*F138,2)</f>
        <v>1064.69</v>
      </c>
    </row>
    <row r="140" spans="3:9" ht="16.5" customHeight="1" thickBot="1" x14ac:dyDescent="0.35">
      <c r="C140" s="34" t="s">
        <v>342</v>
      </c>
      <c r="D140" s="71"/>
      <c r="E140" s="71">
        <f>D111</f>
        <v>4.9000000000000002E-2</v>
      </c>
      <c r="F140" s="71">
        <f>D111</f>
        <v>4.9000000000000002E-2</v>
      </c>
    </row>
    <row r="141" spans="3:9" ht="16.5" customHeight="1" thickBot="1" x14ac:dyDescent="0.35">
      <c r="C141" s="34" t="s">
        <v>343</v>
      </c>
      <c r="D141" s="66"/>
      <c r="E141" s="66">
        <f>ROUND(E134*E140,2)</f>
        <v>315.52</v>
      </c>
      <c r="F141" s="66">
        <f>ROUND(F134*F140,2)</f>
        <v>389.33</v>
      </c>
    </row>
    <row r="142" spans="3:9" ht="16.5" hidden="1" customHeight="1" thickBot="1" x14ac:dyDescent="0.35">
      <c r="C142" s="34" t="s">
        <v>113</v>
      </c>
      <c r="D142" s="66"/>
      <c r="E142" s="66">
        <v>0</v>
      </c>
      <c r="F142" s="66">
        <v>0</v>
      </c>
    </row>
    <row r="143" spans="3:9" ht="16.5" customHeight="1" thickBot="1" x14ac:dyDescent="0.35">
      <c r="C143" s="33" t="s">
        <v>98</v>
      </c>
      <c r="D143" s="72"/>
      <c r="E143" s="72">
        <f>E134+E139+E141+E142</f>
        <v>7617.5700000000015</v>
      </c>
      <c r="F143" s="72">
        <f>F134+F139+F141+F142</f>
        <v>9399.4600000000009</v>
      </c>
      <c r="H143" s="26"/>
      <c r="I143" s="26"/>
    </row>
    <row r="144" spans="3:9" ht="17.25" customHeight="1" x14ac:dyDescent="0.3"/>
    <row r="145" spans="2:12" ht="16.5" customHeight="1" x14ac:dyDescent="0.3">
      <c r="C145" s="20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2:12" ht="18.600000000000001" thickBot="1" x14ac:dyDescent="0.35">
      <c r="B146" s="29" t="s">
        <v>326</v>
      </c>
      <c r="D146" s="5"/>
      <c r="E146" s="5"/>
      <c r="F146" s="5"/>
      <c r="G146" s="5"/>
      <c r="H146" s="20"/>
      <c r="I146" s="20"/>
      <c r="J146" s="20"/>
      <c r="K146" s="20"/>
      <c r="L146" s="20"/>
    </row>
    <row r="147" spans="2:12" ht="16.5" customHeight="1" thickBot="1" x14ac:dyDescent="0.35">
      <c r="C147" s="33" t="s">
        <v>328</v>
      </c>
      <c r="D147" s="38" t="s">
        <v>136</v>
      </c>
      <c r="E147" s="38" t="s">
        <v>59</v>
      </c>
      <c r="F147" s="38" t="s">
        <v>60</v>
      </c>
      <c r="H147" s="22"/>
      <c r="I147" s="24"/>
    </row>
    <row r="148" spans="2:12" ht="16.5" customHeight="1" thickBot="1" x14ac:dyDescent="0.35">
      <c r="C148" s="33" t="s">
        <v>164</v>
      </c>
      <c r="D148" s="33"/>
      <c r="E148" s="33"/>
      <c r="F148" s="33"/>
      <c r="H148" s="22"/>
    </row>
    <row r="149" spans="2:12" ht="16.5" customHeight="1" thickBot="1" x14ac:dyDescent="0.35">
      <c r="C149" s="34" t="s">
        <v>172</v>
      </c>
      <c r="D149" s="73">
        <f>I62*1000</f>
        <v>232551000</v>
      </c>
      <c r="E149" s="34"/>
      <c r="F149" s="34"/>
    </row>
    <row r="150" spans="2:12" ht="16.5" customHeight="1" thickBot="1" x14ac:dyDescent="0.35">
      <c r="C150" s="34"/>
      <c r="D150" s="34"/>
      <c r="E150" s="60"/>
      <c r="F150" s="60"/>
    </row>
    <row r="151" spans="2:12" ht="16.5" customHeight="1" thickBot="1" x14ac:dyDescent="0.35">
      <c r="C151" s="33" t="s">
        <v>162</v>
      </c>
      <c r="D151" s="33"/>
      <c r="E151" s="33"/>
      <c r="F151" s="33"/>
      <c r="H151" s="22"/>
    </row>
    <row r="152" spans="2:12" ht="16.5" customHeight="1" thickBot="1" x14ac:dyDescent="0.35">
      <c r="C152" s="34" t="s">
        <v>252</v>
      </c>
      <c r="D152" s="73">
        <f>ROUND(D$149*0.67,0)</f>
        <v>155809170</v>
      </c>
      <c r="E152" s="34"/>
      <c r="F152" s="34"/>
    </row>
    <row r="153" spans="2:12" ht="16.5" customHeight="1" thickBot="1" x14ac:dyDescent="0.35">
      <c r="C153" s="34" t="s">
        <v>217</v>
      </c>
      <c r="D153" s="34"/>
      <c r="E153" s="60">
        <f>E93</f>
        <v>85000</v>
      </c>
      <c r="F153" s="60">
        <f>F93</f>
        <v>40000</v>
      </c>
    </row>
    <row r="154" spans="2:12" ht="16.5" customHeight="1" thickBot="1" x14ac:dyDescent="0.35">
      <c r="C154" s="34" t="s">
        <v>253</v>
      </c>
      <c r="D154" s="34"/>
      <c r="E154" s="74">
        <v>15</v>
      </c>
      <c r="F154" s="74">
        <v>20</v>
      </c>
    </row>
    <row r="155" spans="2:12" ht="16.5" customHeight="1" thickBot="1" x14ac:dyDescent="0.35">
      <c r="C155" s="34" t="s">
        <v>254</v>
      </c>
      <c r="D155" s="75">
        <f>E155+F155</f>
        <v>2075000</v>
      </c>
      <c r="E155" s="75">
        <f>E153*E154</f>
        <v>1275000</v>
      </c>
      <c r="F155" s="75">
        <f>F153*F154</f>
        <v>800000</v>
      </c>
    </row>
    <row r="156" spans="2:12" ht="16.5" customHeight="1" thickBot="1" x14ac:dyDescent="0.35">
      <c r="C156" s="33" t="s">
        <v>255</v>
      </c>
      <c r="D156" s="76">
        <f>ROUND(D152/D155,2)</f>
        <v>75.09</v>
      </c>
      <c r="E156" s="33"/>
      <c r="F156" s="33"/>
    </row>
    <row r="157" spans="2:12" ht="16.5" customHeight="1" thickBot="1" x14ac:dyDescent="0.35">
      <c r="C157" s="34" t="s">
        <v>253</v>
      </c>
      <c r="D157" s="34"/>
      <c r="E157" s="74">
        <v>15</v>
      </c>
      <c r="F157" s="74">
        <v>20</v>
      </c>
    </row>
    <row r="158" spans="2:12" ht="16.5" customHeight="1" thickBot="1" x14ac:dyDescent="0.35">
      <c r="C158" s="33" t="s">
        <v>256</v>
      </c>
      <c r="D158" s="33"/>
      <c r="E158" s="61">
        <f>ROUND(E154*$D156,2)</f>
        <v>1126.3499999999999</v>
      </c>
      <c r="F158" s="61">
        <f>ROUND(F154*$D156,2)</f>
        <v>1501.8</v>
      </c>
    </row>
    <row r="159" spans="2:12" ht="16.5" customHeight="1" thickBot="1" x14ac:dyDescent="0.35">
      <c r="C159" s="34"/>
      <c r="D159" s="34"/>
      <c r="E159" s="34"/>
      <c r="F159" s="34"/>
    </row>
    <row r="160" spans="2:12" ht="16.5" customHeight="1" thickBot="1" x14ac:dyDescent="0.35">
      <c r="C160" s="33" t="s">
        <v>163</v>
      </c>
      <c r="D160" s="33"/>
      <c r="E160" s="33"/>
      <c r="F160" s="33"/>
      <c r="H160" s="22"/>
    </row>
    <row r="161" spans="3:8" ht="16.5" customHeight="1" thickBot="1" x14ac:dyDescent="0.35">
      <c r="C161" s="34" t="s">
        <v>257</v>
      </c>
      <c r="D161" s="73">
        <f>ROUND(D$149*0.25,0)</f>
        <v>58137750</v>
      </c>
      <c r="E161" s="34"/>
      <c r="F161" s="34"/>
    </row>
    <row r="162" spans="3:8" ht="16.5" customHeight="1" thickBot="1" x14ac:dyDescent="0.35">
      <c r="C162" s="34" t="s">
        <v>217</v>
      </c>
      <c r="D162" s="34"/>
      <c r="E162" s="60">
        <f>E93</f>
        <v>85000</v>
      </c>
      <c r="F162" s="60">
        <f>F93</f>
        <v>40000</v>
      </c>
    </row>
    <row r="163" spans="3:8" ht="16.5" customHeight="1" thickBot="1" x14ac:dyDescent="0.35">
      <c r="C163" s="34" t="s">
        <v>258</v>
      </c>
      <c r="D163" s="34"/>
      <c r="E163" s="74">
        <v>10</v>
      </c>
      <c r="F163" s="74">
        <v>15</v>
      </c>
    </row>
    <row r="164" spans="3:8" ht="16.5" customHeight="1" thickBot="1" x14ac:dyDescent="0.35">
      <c r="C164" s="34" t="s">
        <v>259</v>
      </c>
      <c r="D164" s="75">
        <f>E164+F164</f>
        <v>1450000</v>
      </c>
      <c r="E164" s="75">
        <f>E162*E163</f>
        <v>850000</v>
      </c>
      <c r="F164" s="75">
        <f>F162*F163</f>
        <v>600000</v>
      </c>
    </row>
    <row r="165" spans="3:8" ht="16.5" customHeight="1" thickBot="1" x14ac:dyDescent="0.35">
      <c r="C165" s="33" t="s">
        <v>260</v>
      </c>
      <c r="D165" s="76">
        <f>ROUND(D161/D164,2)</f>
        <v>40.1</v>
      </c>
      <c r="E165" s="33"/>
      <c r="F165" s="33"/>
    </row>
    <row r="166" spans="3:8" ht="16.5" customHeight="1" thickBot="1" x14ac:dyDescent="0.35">
      <c r="C166" s="34" t="s">
        <v>258</v>
      </c>
      <c r="D166" s="34"/>
      <c r="E166" s="74">
        <v>10</v>
      </c>
      <c r="F166" s="74">
        <v>15</v>
      </c>
    </row>
    <row r="167" spans="3:8" ht="16.5" customHeight="1" thickBot="1" x14ac:dyDescent="0.35">
      <c r="C167" s="33" t="s">
        <v>261</v>
      </c>
      <c r="D167" s="33"/>
      <c r="E167" s="61">
        <f>ROUND(E163*$D165,2)</f>
        <v>401</v>
      </c>
      <c r="F167" s="61">
        <f>ROUND(F163*$D165,2)</f>
        <v>601.5</v>
      </c>
    </row>
    <row r="168" spans="3:8" ht="16.5" customHeight="1" thickBot="1" x14ac:dyDescent="0.35">
      <c r="C168" s="34"/>
      <c r="D168" s="34"/>
      <c r="E168" s="34"/>
      <c r="F168" s="34"/>
    </row>
    <row r="169" spans="3:8" ht="16.5" customHeight="1" thickBot="1" x14ac:dyDescent="0.35">
      <c r="C169" s="33" t="s">
        <v>173</v>
      </c>
      <c r="D169" s="33"/>
      <c r="E169" s="33"/>
      <c r="F169" s="33"/>
      <c r="H169" s="22"/>
    </row>
    <row r="170" spans="3:8" ht="16.5" customHeight="1" thickBot="1" x14ac:dyDescent="0.35">
      <c r="C170" s="34" t="s">
        <v>262</v>
      </c>
      <c r="D170" s="73">
        <f>ROUND(D$149*0.03,0)</f>
        <v>6976530</v>
      </c>
      <c r="E170" s="34"/>
      <c r="F170" s="34"/>
    </row>
    <row r="171" spans="3:8" ht="16.5" customHeight="1" thickBot="1" x14ac:dyDescent="0.35">
      <c r="C171" s="34" t="s">
        <v>217</v>
      </c>
      <c r="D171" s="34"/>
      <c r="E171" s="60">
        <f>E93</f>
        <v>85000</v>
      </c>
      <c r="F171" s="60">
        <f>F93</f>
        <v>40000</v>
      </c>
    </row>
    <row r="172" spans="3:8" ht="16.5" customHeight="1" thickBot="1" x14ac:dyDescent="0.35">
      <c r="C172" s="34" t="s">
        <v>263</v>
      </c>
      <c r="D172" s="34"/>
      <c r="E172" s="74">
        <v>2</v>
      </c>
      <c r="F172" s="74">
        <v>3</v>
      </c>
    </row>
    <row r="173" spans="3:8" ht="16.5" customHeight="1" thickBot="1" x14ac:dyDescent="0.35">
      <c r="C173" s="34" t="s">
        <v>264</v>
      </c>
      <c r="D173" s="75">
        <f>E173+F173</f>
        <v>290000</v>
      </c>
      <c r="E173" s="75">
        <f>E171*E172</f>
        <v>170000</v>
      </c>
      <c r="F173" s="75">
        <f>F171*F172</f>
        <v>120000</v>
      </c>
    </row>
    <row r="174" spans="3:8" ht="16.5" customHeight="1" thickBot="1" x14ac:dyDescent="0.35">
      <c r="C174" s="34" t="s">
        <v>265</v>
      </c>
      <c r="D174" s="77">
        <f>ROUND(D170/D173,2)</f>
        <v>24.06</v>
      </c>
      <c r="E174" s="34"/>
      <c r="F174" s="34"/>
    </row>
    <row r="175" spans="3:8" ht="16.5" customHeight="1" thickBot="1" x14ac:dyDescent="0.35">
      <c r="C175" s="34" t="s">
        <v>263</v>
      </c>
      <c r="D175" s="34"/>
      <c r="E175" s="74">
        <v>2</v>
      </c>
      <c r="F175" s="74">
        <v>3</v>
      </c>
    </row>
    <row r="176" spans="3:8" ht="16.5" customHeight="1" thickBot="1" x14ac:dyDescent="0.35">
      <c r="C176" s="33" t="s">
        <v>266</v>
      </c>
      <c r="D176" s="33"/>
      <c r="E176" s="61">
        <f>ROUND(E172*D174,2)</f>
        <v>48.12</v>
      </c>
      <c r="F176" s="61">
        <f>ROUND(F172*D174,2)</f>
        <v>72.180000000000007</v>
      </c>
    </row>
    <row r="177" spans="3:8" ht="16.5" customHeight="1" thickBot="1" x14ac:dyDescent="0.35">
      <c r="C177" s="34"/>
      <c r="D177" s="34"/>
      <c r="E177" s="34"/>
      <c r="F177" s="34"/>
    </row>
    <row r="178" spans="3:8" ht="16.5" customHeight="1" thickBot="1" x14ac:dyDescent="0.35">
      <c r="C178" s="33" t="s">
        <v>165</v>
      </c>
      <c r="D178" s="33"/>
      <c r="E178" s="33"/>
      <c r="F178" s="33"/>
      <c r="H178" s="22"/>
    </row>
    <row r="179" spans="3:8" ht="16.5" customHeight="1" thickBot="1" x14ac:dyDescent="0.35">
      <c r="C179" s="34" t="s">
        <v>218</v>
      </c>
      <c r="D179" s="73">
        <f>D149-D152-D161-D170</f>
        <v>11627550</v>
      </c>
      <c r="E179" s="34"/>
      <c r="F179" s="34"/>
    </row>
    <row r="180" spans="3:8" ht="16.5" customHeight="1" thickBot="1" x14ac:dyDescent="0.35">
      <c r="C180" s="34" t="s">
        <v>217</v>
      </c>
      <c r="D180" s="34"/>
      <c r="E180" s="60">
        <f>E93</f>
        <v>85000</v>
      </c>
      <c r="F180" s="60">
        <f>F93</f>
        <v>40000</v>
      </c>
    </row>
    <row r="181" spans="3:8" ht="16.5" customHeight="1" thickBot="1" x14ac:dyDescent="0.35">
      <c r="C181" s="34" t="s">
        <v>205</v>
      </c>
      <c r="D181" s="52"/>
      <c r="E181" s="78">
        <f>ROUND(E124,2)</f>
        <v>486.5</v>
      </c>
      <c r="F181" s="78">
        <f>ROUND(F124,2)</f>
        <v>632.45000000000005</v>
      </c>
    </row>
    <row r="182" spans="3:8" ht="16.5" customHeight="1" thickBot="1" x14ac:dyDescent="0.35">
      <c r="C182" s="34" t="s">
        <v>213</v>
      </c>
      <c r="D182" s="73">
        <f>E182+F182</f>
        <v>66650500</v>
      </c>
      <c r="E182" s="73">
        <f>E180*E181</f>
        <v>41352500</v>
      </c>
      <c r="F182" s="73">
        <f>F180*F181</f>
        <v>25298000</v>
      </c>
    </row>
    <row r="183" spans="3:8" ht="16.5" customHeight="1" thickBot="1" x14ac:dyDescent="0.35">
      <c r="C183" s="33" t="s">
        <v>219</v>
      </c>
      <c r="D183" s="79">
        <f>ROUND(D179/D182,4)</f>
        <v>0.17449999999999999</v>
      </c>
      <c r="E183" s="33"/>
      <c r="F183" s="33"/>
    </row>
    <row r="184" spans="3:8" ht="16.5" customHeight="1" thickBot="1" x14ac:dyDescent="0.35">
      <c r="C184" s="34" t="s">
        <v>205</v>
      </c>
      <c r="D184" s="52"/>
      <c r="E184" s="78">
        <f>E181</f>
        <v>486.5</v>
      </c>
      <c r="F184" s="78">
        <f>F181</f>
        <v>632.45000000000005</v>
      </c>
    </row>
    <row r="185" spans="3:8" ht="16.5" customHeight="1" thickBot="1" x14ac:dyDescent="0.35">
      <c r="C185" s="33" t="s">
        <v>220</v>
      </c>
      <c r="D185" s="33"/>
      <c r="E185" s="61">
        <f>ROUND(E181*$D183,2)</f>
        <v>84.89</v>
      </c>
      <c r="F185" s="61">
        <f>ROUND(F181*$D183,2)</f>
        <v>110.36</v>
      </c>
    </row>
    <row r="186" spans="3:8" ht="16.5" customHeight="1" thickBot="1" x14ac:dyDescent="0.35">
      <c r="C186" s="34"/>
      <c r="D186" s="34"/>
      <c r="E186" s="34"/>
      <c r="F186" s="34"/>
    </row>
    <row r="187" spans="3:8" ht="16.5" customHeight="1" thickBot="1" x14ac:dyDescent="0.35">
      <c r="C187" s="33" t="s">
        <v>64</v>
      </c>
      <c r="D187" s="33"/>
      <c r="E187" s="33"/>
      <c r="F187" s="33"/>
      <c r="H187" s="22"/>
    </row>
    <row r="188" spans="3:8" ht="16.5" customHeight="1" thickBot="1" x14ac:dyDescent="0.35">
      <c r="C188" s="34" t="s">
        <v>204</v>
      </c>
      <c r="D188" s="52"/>
      <c r="E188" s="78">
        <f>E181</f>
        <v>486.5</v>
      </c>
      <c r="F188" s="78">
        <f>F181</f>
        <v>632.45000000000005</v>
      </c>
      <c r="H188" s="22"/>
    </row>
    <row r="189" spans="3:8" ht="16.5" customHeight="1" thickBot="1" x14ac:dyDescent="0.35">
      <c r="C189" s="34" t="s">
        <v>267</v>
      </c>
      <c r="D189" s="52"/>
      <c r="E189" s="78">
        <f>E158</f>
        <v>1126.3499999999999</v>
      </c>
      <c r="F189" s="78">
        <f>F158</f>
        <v>1501.8</v>
      </c>
      <c r="H189" s="22"/>
    </row>
    <row r="190" spans="3:8" ht="16.5" customHeight="1" thickBot="1" x14ac:dyDescent="0.35">
      <c r="C190" s="34" t="s">
        <v>268</v>
      </c>
      <c r="D190" s="52"/>
      <c r="E190" s="78">
        <f>E167</f>
        <v>401</v>
      </c>
      <c r="F190" s="78">
        <f>F167</f>
        <v>601.5</v>
      </c>
      <c r="H190" s="22"/>
    </row>
    <row r="191" spans="3:8" ht="16.5" customHeight="1" thickBot="1" x14ac:dyDescent="0.35">
      <c r="C191" s="34" t="s">
        <v>269</v>
      </c>
      <c r="D191" s="52"/>
      <c r="E191" s="78">
        <f>E176</f>
        <v>48.12</v>
      </c>
      <c r="F191" s="78">
        <f>F176</f>
        <v>72.180000000000007</v>
      </c>
      <c r="H191" s="22"/>
    </row>
    <row r="192" spans="3:8" ht="16.5" customHeight="1" thickBot="1" x14ac:dyDescent="0.35">
      <c r="C192" s="34" t="s">
        <v>209</v>
      </c>
      <c r="D192" s="52"/>
      <c r="E192" s="78">
        <f>E185</f>
        <v>84.89</v>
      </c>
      <c r="F192" s="78">
        <f>F185</f>
        <v>110.36</v>
      </c>
      <c r="H192" s="22"/>
    </row>
    <row r="193" spans="2:12" ht="16.5" customHeight="1" thickBot="1" x14ac:dyDescent="0.35">
      <c r="C193" s="33" t="s">
        <v>208</v>
      </c>
      <c r="D193" s="34"/>
      <c r="E193" s="61">
        <f>SUM(E188:E192)</f>
        <v>2146.8599999999997</v>
      </c>
      <c r="F193" s="61">
        <f>SUM(F188:F192)</f>
        <v>2918.29</v>
      </c>
      <c r="H193" s="26"/>
      <c r="I193" s="26"/>
    </row>
    <row r="194" spans="2:12" ht="17.25" customHeight="1" x14ac:dyDescent="0.3">
      <c r="C194" s="20"/>
      <c r="D194" s="20"/>
      <c r="G194" s="20"/>
      <c r="H194" s="20"/>
      <c r="I194" s="20"/>
      <c r="J194" s="20"/>
      <c r="K194" s="20"/>
      <c r="L194" s="20"/>
    </row>
    <row r="195" spans="2:12" ht="17.25" customHeight="1" x14ac:dyDescent="0.3">
      <c r="C195" s="20"/>
      <c r="D195" s="20"/>
      <c r="G195" s="20"/>
      <c r="H195" s="20"/>
      <c r="I195" s="20"/>
      <c r="J195" s="20"/>
      <c r="K195" s="20"/>
      <c r="L195" s="20"/>
    </row>
    <row r="196" spans="2:12" ht="18.600000000000001" thickBot="1" x14ac:dyDescent="0.35">
      <c r="B196" s="29" t="s">
        <v>326</v>
      </c>
      <c r="D196" s="5"/>
      <c r="E196" s="5"/>
      <c r="F196" s="5"/>
      <c r="G196" s="5"/>
      <c r="H196" s="20"/>
      <c r="I196" s="20"/>
      <c r="J196" s="20"/>
      <c r="K196" s="20"/>
      <c r="L196" s="20"/>
    </row>
    <row r="197" spans="2:12" ht="16.5" customHeight="1" thickBot="1" x14ac:dyDescent="0.35">
      <c r="C197" s="33" t="s">
        <v>99</v>
      </c>
      <c r="D197" s="33"/>
      <c r="E197" s="38" t="s">
        <v>59</v>
      </c>
      <c r="F197" s="38" t="s">
        <v>60</v>
      </c>
    </row>
    <row r="198" spans="2:12" ht="16.5" customHeight="1" thickBot="1" x14ac:dyDescent="0.35">
      <c r="C198" s="33" t="s">
        <v>65</v>
      </c>
      <c r="D198" s="33"/>
      <c r="E198" s="33"/>
      <c r="F198" s="33"/>
    </row>
    <row r="199" spans="2:12" ht="16.5" customHeight="1" thickBot="1" x14ac:dyDescent="0.35">
      <c r="C199" s="34" t="s">
        <v>100</v>
      </c>
      <c r="D199" s="66"/>
      <c r="E199" s="66">
        <f>E143</f>
        <v>7617.5700000000015</v>
      </c>
      <c r="F199" s="66">
        <f>F143</f>
        <v>9399.4600000000009</v>
      </c>
    </row>
    <row r="200" spans="2:12" ht="16.5" customHeight="1" thickBot="1" x14ac:dyDescent="0.35">
      <c r="C200" s="34" t="s">
        <v>130</v>
      </c>
      <c r="D200" s="80"/>
      <c r="E200" s="80">
        <v>7.0000000000000007E-2</v>
      </c>
      <c r="F200" s="80">
        <v>0.09</v>
      </c>
    </row>
    <row r="201" spans="2:12" ht="28.2" thickBot="1" x14ac:dyDescent="0.35">
      <c r="C201" s="34" t="s">
        <v>145</v>
      </c>
      <c r="D201" s="66"/>
      <c r="E201" s="66">
        <f>ROUND(E143*E200,2)</f>
        <v>533.23</v>
      </c>
      <c r="F201" s="66">
        <f>ROUND(F143*F200,2)</f>
        <v>845.95</v>
      </c>
      <c r="I201" s="26"/>
    </row>
    <row r="202" spans="2:12" ht="16.5" customHeight="1" thickBot="1" x14ac:dyDescent="0.35">
      <c r="C202" s="33" t="s">
        <v>101</v>
      </c>
      <c r="D202" s="72"/>
      <c r="E202" s="72">
        <f>E143+E201</f>
        <v>8150.8000000000011</v>
      </c>
      <c r="F202" s="72">
        <f>F143+F201</f>
        <v>10245.410000000002</v>
      </c>
    </row>
    <row r="203" spans="2:12" ht="16.5" customHeight="1" thickBot="1" x14ac:dyDescent="0.35">
      <c r="C203" s="33"/>
      <c r="D203" s="72"/>
      <c r="E203" s="72"/>
      <c r="F203" s="72"/>
    </row>
    <row r="204" spans="2:12" ht="16.5" customHeight="1" thickBot="1" x14ac:dyDescent="0.35">
      <c r="C204" s="33" t="s">
        <v>104</v>
      </c>
      <c r="D204" s="33"/>
      <c r="E204" s="33"/>
      <c r="F204" s="33"/>
    </row>
    <row r="205" spans="2:12" ht="16.5" customHeight="1" thickBot="1" x14ac:dyDescent="0.35">
      <c r="C205" s="34" t="s">
        <v>107</v>
      </c>
      <c r="D205" s="66"/>
      <c r="E205" s="66">
        <f>E202</f>
        <v>8150.8000000000011</v>
      </c>
      <c r="F205" s="66">
        <f>F202</f>
        <v>10245.410000000002</v>
      </c>
    </row>
    <row r="206" spans="2:12" ht="28.2" thickBot="1" x14ac:dyDescent="0.35">
      <c r="C206" s="34" t="s">
        <v>146</v>
      </c>
      <c r="D206" s="80"/>
      <c r="E206" s="80">
        <v>0.02</v>
      </c>
      <c r="F206" s="80">
        <v>0.02</v>
      </c>
    </row>
    <row r="207" spans="2:12" ht="28.2" thickBot="1" x14ac:dyDescent="0.35">
      <c r="C207" s="34" t="s">
        <v>147</v>
      </c>
      <c r="D207" s="66"/>
      <c r="E207" s="66">
        <f>E208-E205</f>
        <v>166.33999999999833</v>
      </c>
      <c r="F207" s="66">
        <f>F208-F205</f>
        <v>209.08999999999833</v>
      </c>
    </row>
    <row r="208" spans="2:12" ht="16.5" customHeight="1" thickBot="1" x14ac:dyDescent="0.35">
      <c r="C208" s="33" t="s">
        <v>106</v>
      </c>
      <c r="D208" s="72"/>
      <c r="E208" s="72">
        <f>ROUND(E205/(1-E206),2)</f>
        <v>8317.14</v>
      </c>
      <c r="F208" s="72">
        <f>ROUND(F205/(1-F206),2)</f>
        <v>10454.5</v>
      </c>
    </row>
    <row r="209" spans="2:12" ht="16.5" customHeight="1" thickBot="1" x14ac:dyDescent="0.35">
      <c r="C209" s="33"/>
      <c r="D209" s="72"/>
      <c r="E209" s="72"/>
      <c r="F209" s="72"/>
    </row>
    <row r="210" spans="2:12" ht="16.5" customHeight="1" thickBot="1" x14ac:dyDescent="0.35">
      <c r="C210" s="33" t="s">
        <v>66</v>
      </c>
      <c r="D210" s="33"/>
      <c r="E210" s="33"/>
      <c r="F210" s="33"/>
    </row>
    <row r="211" spans="2:12" ht="16.5" customHeight="1" thickBot="1" x14ac:dyDescent="0.35">
      <c r="C211" s="34" t="s">
        <v>108</v>
      </c>
      <c r="D211" s="66"/>
      <c r="E211" s="66">
        <f>E208</f>
        <v>8317.14</v>
      </c>
      <c r="F211" s="66">
        <f>F208</f>
        <v>10454.5</v>
      </c>
    </row>
    <row r="212" spans="2:12" ht="28.2" thickBot="1" x14ac:dyDescent="0.35">
      <c r="C212" s="34" t="s">
        <v>148</v>
      </c>
      <c r="D212" s="80"/>
      <c r="E212" s="80">
        <v>0.01</v>
      </c>
      <c r="F212" s="80">
        <v>0.01</v>
      </c>
    </row>
    <row r="213" spans="2:12" ht="28.2" thickBot="1" x14ac:dyDescent="0.35">
      <c r="C213" s="34" t="s">
        <v>149</v>
      </c>
      <c r="D213" s="66"/>
      <c r="E213" s="66">
        <f>E214-E211</f>
        <v>84.010000000000218</v>
      </c>
      <c r="F213" s="66">
        <f>F214-F211</f>
        <v>105.60000000000036</v>
      </c>
    </row>
    <row r="214" spans="2:12" ht="16.5" customHeight="1" thickBot="1" x14ac:dyDescent="0.35">
      <c r="C214" s="33" t="s">
        <v>109</v>
      </c>
      <c r="D214" s="72"/>
      <c r="E214" s="72">
        <f>ROUND(E211/(1-E212),2)</f>
        <v>8401.15</v>
      </c>
      <c r="F214" s="72">
        <f>ROUND(F211/(1-F212),2)</f>
        <v>10560.1</v>
      </c>
    </row>
    <row r="215" spans="2:12" ht="16.5" customHeight="1" thickBot="1" x14ac:dyDescent="0.35">
      <c r="C215" s="33"/>
      <c r="D215" s="72"/>
      <c r="E215" s="72"/>
      <c r="F215" s="72"/>
    </row>
    <row r="216" spans="2:12" ht="16.5" customHeight="1" thickBot="1" x14ac:dyDescent="0.35">
      <c r="C216" s="33" t="s">
        <v>105</v>
      </c>
      <c r="D216" s="33"/>
      <c r="E216" s="33"/>
      <c r="F216" s="33"/>
    </row>
    <row r="217" spans="2:12" ht="16.5" customHeight="1" thickBot="1" x14ac:dyDescent="0.35">
      <c r="C217" s="34" t="s">
        <v>110</v>
      </c>
      <c r="D217" s="66"/>
      <c r="E217" s="66">
        <f>E214</f>
        <v>8401.15</v>
      </c>
      <c r="F217" s="66">
        <f>F214</f>
        <v>10560.1</v>
      </c>
    </row>
    <row r="218" spans="2:12" ht="16.5" customHeight="1" thickBot="1" x14ac:dyDescent="0.35">
      <c r="C218" s="34" t="s">
        <v>111</v>
      </c>
      <c r="D218" s="80"/>
      <c r="E218" s="80">
        <v>0.19</v>
      </c>
      <c r="F218" s="80">
        <v>0.19</v>
      </c>
    </row>
    <row r="219" spans="2:12" ht="28.2" thickBot="1" x14ac:dyDescent="0.35">
      <c r="C219" s="34" t="s">
        <v>150</v>
      </c>
      <c r="D219" s="66"/>
      <c r="E219" s="66">
        <f>ROUND(E217*E218,2)</f>
        <v>1596.22</v>
      </c>
      <c r="F219" s="66">
        <f>ROUND(F217*F218,2)</f>
        <v>2006.42</v>
      </c>
    </row>
    <row r="220" spans="2:12" ht="16.5" customHeight="1" thickBot="1" x14ac:dyDescent="0.35">
      <c r="C220" s="33" t="s">
        <v>112</v>
      </c>
      <c r="D220" s="72"/>
      <c r="E220" s="72">
        <f>E217+E219</f>
        <v>9997.369999999999</v>
      </c>
      <c r="F220" s="72">
        <f>F217+F219</f>
        <v>12566.52</v>
      </c>
    </row>
    <row r="221" spans="2:12" ht="17.25" customHeight="1" x14ac:dyDescent="0.3"/>
    <row r="222" spans="2:12" ht="17.25" customHeight="1" x14ac:dyDescent="0.3">
      <c r="E222" s="26"/>
      <c r="F222" s="26"/>
      <c r="H222" s="26"/>
    </row>
    <row r="223" spans="2:12" ht="18.600000000000001" thickBot="1" x14ac:dyDescent="0.35">
      <c r="B223" s="29" t="s">
        <v>329</v>
      </c>
      <c r="C223" s="28"/>
      <c r="D223" s="5"/>
      <c r="E223" s="5"/>
      <c r="F223" s="5"/>
      <c r="G223" s="5"/>
      <c r="H223" s="20"/>
      <c r="I223" s="20"/>
      <c r="J223" s="20"/>
      <c r="K223" s="20"/>
      <c r="L223" s="20"/>
    </row>
    <row r="224" spans="2:12" ht="16.5" customHeight="1" thickBot="1" x14ac:dyDescent="0.4">
      <c r="C224" s="33"/>
      <c r="D224" s="38" t="s">
        <v>136</v>
      </c>
      <c r="E224" s="25"/>
      <c r="F224" s="25"/>
      <c r="H224" s="22"/>
    </row>
    <row r="225" spans="3:9" ht="16.5" customHeight="1" thickBot="1" x14ac:dyDescent="0.4">
      <c r="C225" s="33" t="s">
        <v>193</v>
      </c>
      <c r="D225" s="33"/>
      <c r="E225" s="25"/>
      <c r="F225" s="25"/>
      <c r="H225" s="22"/>
    </row>
    <row r="226" spans="3:9" ht="16.5" customHeight="1" thickBot="1" x14ac:dyDescent="0.4">
      <c r="C226" s="34" t="s">
        <v>174</v>
      </c>
      <c r="D226" s="58">
        <f>D106</f>
        <v>865187.2</v>
      </c>
      <c r="E226" s="25"/>
      <c r="F226" s="25"/>
      <c r="H226" s="7"/>
    </row>
    <row r="227" spans="3:9" ht="16.5" customHeight="1" thickBot="1" x14ac:dyDescent="0.4">
      <c r="C227" s="34" t="s">
        <v>270</v>
      </c>
      <c r="D227" s="60">
        <f>D239+5000</f>
        <v>130000</v>
      </c>
      <c r="E227" s="25"/>
      <c r="F227" s="25"/>
      <c r="H227" s="7"/>
    </row>
    <row r="228" spans="3:9" ht="16.5" customHeight="1" thickBot="1" x14ac:dyDescent="0.4">
      <c r="C228" s="33" t="s">
        <v>178</v>
      </c>
      <c r="D228" s="61">
        <f>ROUND(D226/D227*1000,2)</f>
        <v>6655.29</v>
      </c>
      <c r="E228" s="25"/>
      <c r="F228" s="25"/>
      <c r="H228" s="7"/>
    </row>
    <row r="229" spans="3:9" ht="16.5" customHeight="1" thickBot="1" x14ac:dyDescent="0.4">
      <c r="C229" s="33"/>
      <c r="D229" s="61"/>
      <c r="E229" s="25"/>
      <c r="F229" s="25"/>
      <c r="H229" s="7"/>
    </row>
    <row r="230" spans="3:9" ht="16.5" customHeight="1" thickBot="1" x14ac:dyDescent="0.4">
      <c r="C230" s="33" t="s">
        <v>192</v>
      </c>
      <c r="D230" s="33"/>
      <c r="E230" s="25"/>
      <c r="F230" s="25"/>
      <c r="H230" s="22"/>
    </row>
    <row r="231" spans="3:9" ht="16.5" customHeight="1" thickBot="1" x14ac:dyDescent="0.4">
      <c r="C231" s="34" t="s">
        <v>271</v>
      </c>
      <c r="D231" s="60">
        <f>D227</f>
        <v>130000</v>
      </c>
      <c r="E231" s="25"/>
      <c r="F231" s="25"/>
      <c r="H231" s="7"/>
    </row>
    <row r="232" spans="3:9" ht="16.5" customHeight="1" thickBot="1" x14ac:dyDescent="0.4">
      <c r="C232" s="34" t="s">
        <v>272</v>
      </c>
      <c r="D232" s="60">
        <f>D239</f>
        <v>125000</v>
      </c>
      <c r="E232" s="25"/>
      <c r="F232" s="25"/>
      <c r="H232" s="7"/>
    </row>
    <row r="233" spans="3:9" ht="16.5" customHeight="1" thickBot="1" x14ac:dyDescent="0.4">
      <c r="C233" s="33" t="s">
        <v>177</v>
      </c>
      <c r="D233" s="65">
        <f>D227-D239</f>
        <v>5000</v>
      </c>
      <c r="E233" s="25"/>
      <c r="F233" s="25"/>
      <c r="H233" s="7"/>
    </row>
    <row r="234" spans="3:9" ht="16.5" customHeight="1" thickBot="1" x14ac:dyDescent="0.4">
      <c r="C234" s="34" t="s">
        <v>175</v>
      </c>
      <c r="D234" s="78">
        <f>D228</f>
        <v>6655.29</v>
      </c>
      <c r="E234" s="25"/>
      <c r="F234" s="25"/>
      <c r="H234" s="7"/>
    </row>
    <row r="235" spans="3:9" ht="16.5" customHeight="1" thickBot="1" x14ac:dyDescent="0.4">
      <c r="C235" s="33" t="s">
        <v>176</v>
      </c>
      <c r="D235" s="81">
        <f>D233*D234/1000</f>
        <v>33276.449999999997</v>
      </c>
      <c r="E235" s="25"/>
      <c r="F235" s="25"/>
      <c r="H235" s="7"/>
      <c r="I235" s="26"/>
    </row>
    <row r="236" spans="3:9" ht="16.5" customHeight="1" thickBot="1" x14ac:dyDescent="0.4">
      <c r="C236" s="34"/>
      <c r="D236" s="60"/>
      <c r="E236" s="25"/>
      <c r="F236" s="25"/>
      <c r="H236" s="7"/>
    </row>
    <row r="237" spans="3:9" ht="16.5" customHeight="1" thickBot="1" x14ac:dyDescent="0.4">
      <c r="C237" s="33" t="s">
        <v>194</v>
      </c>
      <c r="D237" s="33"/>
      <c r="E237" s="25"/>
      <c r="F237" s="25"/>
      <c r="H237" s="22"/>
    </row>
    <row r="238" spans="3:9" ht="16.5" customHeight="1" thickBot="1" x14ac:dyDescent="0.4">
      <c r="C238" s="34" t="s">
        <v>195</v>
      </c>
      <c r="D238" s="58">
        <f>J62+K62</f>
        <v>158263</v>
      </c>
      <c r="E238" s="25"/>
      <c r="F238" s="25"/>
      <c r="H238" s="7"/>
    </row>
    <row r="239" spans="3:9" ht="16.5" customHeight="1" thickBot="1" x14ac:dyDescent="0.4">
      <c r="C239" s="34" t="s">
        <v>273</v>
      </c>
      <c r="D239" s="60">
        <f>D70</f>
        <v>125000</v>
      </c>
      <c r="E239" s="25"/>
      <c r="F239" s="25"/>
      <c r="H239" s="7"/>
    </row>
    <row r="240" spans="3:9" ht="16.5" customHeight="1" thickBot="1" x14ac:dyDescent="0.4">
      <c r="C240" s="33" t="s">
        <v>179</v>
      </c>
      <c r="D240" s="61">
        <f>ROUND(D238/D239*1000,2)</f>
        <v>1266.0999999999999</v>
      </c>
      <c r="E240" s="25"/>
      <c r="F240" s="25"/>
      <c r="H240" s="7"/>
    </row>
    <row r="241" spans="2:12" ht="16.5" customHeight="1" thickBot="1" x14ac:dyDescent="0.4">
      <c r="C241" s="33"/>
      <c r="D241" s="61"/>
      <c r="E241" s="25"/>
      <c r="F241" s="25"/>
      <c r="H241" s="7"/>
    </row>
    <row r="242" spans="2:12" ht="16.5" customHeight="1" thickBot="1" x14ac:dyDescent="0.4">
      <c r="C242" s="33" t="s">
        <v>85</v>
      </c>
      <c r="D242" s="33"/>
      <c r="E242" s="25"/>
      <c r="F242" s="25"/>
      <c r="H242" s="22"/>
    </row>
    <row r="243" spans="2:12" ht="16.5" customHeight="1" thickBot="1" x14ac:dyDescent="0.4">
      <c r="C243" s="34" t="s">
        <v>196</v>
      </c>
      <c r="D243" s="61">
        <f>D228</f>
        <v>6655.29</v>
      </c>
      <c r="E243" s="25"/>
      <c r="F243" s="25"/>
      <c r="H243" s="7"/>
    </row>
    <row r="244" spans="2:12" ht="16.5" customHeight="1" thickBot="1" x14ac:dyDescent="0.4">
      <c r="C244" s="34" t="s">
        <v>197</v>
      </c>
      <c r="D244" s="61">
        <f>D240</f>
        <v>1266.0999999999999</v>
      </c>
      <c r="E244" s="25"/>
      <c r="F244" s="25"/>
      <c r="H244" s="7"/>
    </row>
    <row r="245" spans="2:12" ht="16.5" customHeight="1" thickBot="1" x14ac:dyDescent="0.4">
      <c r="C245" s="33" t="s">
        <v>160</v>
      </c>
      <c r="D245" s="61">
        <f>D243+D244</f>
        <v>7921.3899999999994</v>
      </c>
      <c r="E245" s="25"/>
      <c r="F245" s="25"/>
      <c r="H245" s="7"/>
    </row>
    <row r="246" spans="2:12" ht="17.25" customHeight="1" x14ac:dyDescent="0.3"/>
    <row r="247" spans="2:12" ht="17.25" customHeight="1" x14ac:dyDescent="0.3"/>
    <row r="248" spans="2:12" ht="18.600000000000001" thickBot="1" x14ac:dyDescent="0.35">
      <c r="B248" s="29" t="s">
        <v>330</v>
      </c>
      <c r="C248" s="28"/>
      <c r="D248" s="5"/>
      <c r="E248" s="5"/>
      <c r="F248" s="5"/>
      <c r="G248" s="5"/>
      <c r="H248" s="20"/>
      <c r="I248" s="20"/>
      <c r="J248" s="20"/>
      <c r="K248" s="20"/>
      <c r="L248" s="20"/>
    </row>
    <row r="249" spans="2:12" ht="16.5" customHeight="1" thickBot="1" x14ac:dyDescent="0.4">
      <c r="C249" s="33"/>
      <c r="D249" s="38" t="s">
        <v>136</v>
      </c>
      <c r="E249" s="25"/>
      <c r="F249" s="25"/>
      <c r="H249" s="22"/>
    </row>
    <row r="250" spans="2:12" ht="16.5" customHeight="1" thickBot="1" x14ac:dyDescent="0.4">
      <c r="C250" s="33" t="s">
        <v>184</v>
      </c>
      <c r="D250" s="33"/>
      <c r="E250" s="25"/>
      <c r="F250" s="25"/>
      <c r="H250" s="22"/>
    </row>
    <row r="251" spans="2:12" ht="16.5" customHeight="1" thickBot="1" x14ac:dyDescent="0.4">
      <c r="C251" s="34" t="s">
        <v>274</v>
      </c>
      <c r="D251" s="78">
        <v>0</v>
      </c>
      <c r="E251" s="25"/>
      <c r="F251" s="25"/>
      <c r="H251" s="7"/>
    </row>
    <row r="252" spans="2:12" ht="16.5" customHeight="1" thickBot="1" x14ac:dyDescent="0.4">
      <c r="C252" s="34" t="s">
        <v>275</v>
      </c>
      <c r="D252" s="60">
        <v>140000</v>
      </c>
      <c r="E252" s="25"/>
      <c r="F252" s="25"/>
      <c r="H252" s="7"/>
    </row>
    <row r="253" spans="2:12" ht="16.5" customHeight="1" thickBot="1" x14ac:dyDescent="0.4">
      <c r="C253" s="34" t="s">
        <v>276</v>
      </c>
      <c r="D253" s="58">
        <f>D226*0.6</f>
        <v>519112.31999999995</v>
      </c>
      <c r="E253" s="25"/>
      <c r="F253" s="25"/>
      <c r="H253" s="7"/>
    </row>
    <row r="254" spans="2:12" ht="16.5" customHeight="1" thickBot="1" x14ac:dyDescent="0.4">
      <c r="C254" s="34" t="s">
        <v>277</v>
      </c>
      <c r="D254" s="60">
        <v>130000</v>
      </c>
      <c r="E254" s="25"/>
      <c r="F254" s="25"/>
      <c r="H254" s="7"/>
    </row>
    <row r="255" spans="2:12" ht="16.5" customHeight="1" thickBot="1" x14ac:dyDescent="0.4">
      <c r="C255" s="33" t="s">
        <v>278</v>
      </c>
      <c r="D255" s="61">
        <f>ROUND((D251*D252+D253*1000)/D254,2)</f>
        <v>3993.17</v>
      </c>
      <c r="E255" s="25"/>
      <c r="F255" s="25"/>
      <c r="H255" s="7"/>
    </row>
    <row r="256" spans="2:12" ht="16.5" customHeight="1" thickBot="1" x14ac:dyDescent="0.4">
      <c r="C256" s="34"/>
      <c r="D256" s="58"/>
      <c r="E256" s="25"/>
      <c r="F256" s="25"/>
      <c r="H256" s="7"/>
    </row>
    <row r="257" spans="3:8" ht="16.5" customHeight="1" thickBot="1" x14ac:dyDescent="0.4">
      <c r="C257" s="33" t="s">
        <v>182</v>
      </c>
      <c r="D257" s="33"/>
      <c r="E257" s="25"/>
      <c r="F257" s="25"/>
      <c r="H257" s="22"/>
    </row>
    <row r="258" spans="3:8" ht="16.5" customHeight="1" thickBot="1" x14ac:dyDescent="0.4">
      <c r="C258" s="34" t="s">
        <v>279</v>
      </c>
      <c r="D258" s="60">
        <f>D254-D264</f>
        <v>5000</v>
      </c>
      <c r="E258" s="25"/>
      <c r="F258" s="25"/>
      <c r="H258" s="7"/>
    </row>
    <row r="259" spans="3:8" ht="16.5" customHeight="1" thickBot="1" x14ac:dyDescent="0.4">
      <c r="C259" s="34" t="s">
        <v>280</v>
      </c>
      <c r="D259" s="78">
        <f>D255</f>
        <v>3993.17</v>
      </c>
      <c r="E259" s="25"/>
      <c r="F259" s="25"/>
      <c r="H259" s="7"/>
    </row>
    <row r="260" spans="3:8" ht="16.5" customHeight="1" thickBot="1" x14ac:dyDescent="0.4">
      <c r="C260" s="33" t="s">
        <v>176</v>
      </c>
      <c r="D260" s="81">
        <f>D258*D259/1000</f>
        <v>19965.849999999999</v>
      </c>
      <c r="E260" s="25"/>
      <c r="F260" s="25"/>
      <c r="H260" s="7"/>
    </row>
    <row r="261" spans="3:8" ht="16.5" customHeight="1" thickBot="1" x14ac:dyDescent="0.4">
      <c r="C261" s="34"/>
      <c r="D261" s="60"/>
      <c r="E261" s="25"/>
      <c r="F261" s="25"/>
      <c r="H261" s="7"/>
    </row>
    <row r="262" spans="3:8" ht="16.5" customHeight="1" thickBot="1" x14ac:dyDescent="0.4">
      <c r="C262" s="33" t="s">
        <v>222</v>
      </c>
      <c r="D262" s="33"/>
      <c r="E262" s="25"/>
      <c r="F262" s="25"/>
      <c r="H262" s="22"/>
    </row>
    <row r="263" spans="3:8" ht="16.5" customHeight="1" thickBot="1" x14ac:dyDescent="0.4">
      <c r="C263" s="34" t="s">
        <v>281</v>
      </c>
      <c r="D263" s="78">
        <f>D255</f>
        <v>3993.17</v>
      </c>
      <c r="E263" s="25"/>
      <c r="F263" s="25"/>
      <c r="H263" s="7"/>
    </row>
    <row r="264" spans="3:8" ht="16.5" customHeight="1" thickBot="1" x14ac:dyDescent="0.4">
      <c r="C264" s="34" t="s">
        <v>282</v>
      </c>
      <c r="D264" s="60">
        <v>125000</v>
      </c>
      <c r="E264" s="25"/>
      <c r="F264" s="25"/>
      <c r="H264" s="7"/>
    </row>
    <row r="265" spans="3:8" ht="16.5" customHeight="1" thickBot="1" x14ac:dyDescent="0.4">
      <c r="C265" s="34" t="s">
        <v>283</v>
      </c>
      <c r="D265" s="58">
        <f>D226-D253</f>
        <v>346074.88</v>
      </c>
      <c r="E265" s="25"/>
      <c r="F265" s="25"/>
      <c r="H265" s="7"/>
    </row>
    <row r="266" spans="3:8" ht="16.5" customHeight="1" thickBot="1" x14ac:dyDescent="0.4">
      <c r="C266" s="34" t="s">
        <v>284</v>
      </c>
      <c r="D266" s="60">
        <v>120000</v>
      </c>
      <c r="E266" s="25"/>
      <c r="F266" s="25"/>
      <c r="H266" s="7"/>
    </row>
    <row r="267" spans="3:8" ht="16.5" customHeight="1" thickBot="1" x14ac:dyDescent="0.4">
      <c r="C267" s="33" t="s">
        <v>285</v>
      </c>
      <c r="D267" s="61">
        <f>ROUND((D263*D264+D265*1000)/D266,2)</f>
        <v>7043.51</v>
      </c>
      <c r="E267" s="25"/>
      <c r="F267" s="25"/>
      <c r="H267" s="7"/>
    </row>
    <row r="268" spans="3:8" ht="16.5" customHeight="1" thickBot="1" x14ac:dyDescent="0.4">
      <c r="C268" s="34"/>
      <c r="D268" s="58"/>
      <c r="E268" s="25"/>
      <c r="F268" s="25"/>
      <c r="H268" s="7"/>
    </row>
    <row r="269" spans="3:8" ht="16.5" customHeight="1" thickBot="1" x14ac:dyDescent="0.4">
      <c r="C269" s="33" t="s">
        <v>182</v>
      </c>
      <c r="D269" s="33"/>
      <c r="E269" s="25"/>
      <c r="F269" s="25"/>
      <c r="H269" s="22"/>
    </row>
    <row r="270" spans="3:8" ht="16.5" customHeight="1" thickBot="1" x14ac:dyDescent="0.4">
      <c r="C270" s="34" t="s">
        <v>286</v>
      </c>
      <c r="D270" s="60">
        <f>D266-D276</f>
        <v>-5000</v>
      </c>
      <c r="E270" s="25"/>
      <c r="F270" s="25"/>
      <c r="H270" s="7"/>
    </row>
    <row r="271" spans="3:8" ht="16.5" customHeight="1" thickBot="1" x14ac:dyDescent="0.4">
      <c r="C271" s="34" t="s">
        <v>287</v>
      </c>
      <c r="D271" s="78">
        <f>D267</f>
        <v>7043.51</v>
      </c>
      <c r="E271" s="25"/>
      <c r="F271" s="25"/>
      <c r="H271" s="7"/>
    </row>
    <row r="272" spans="3:8" ht="16.5" customHeight="1" thickBot="1" x14ac:dyDescent="0.4">
      <c r="C272" s="33" t="s">
        <v>176</v>
      </c>
      <c r="D272" s="81">
        <f>D270*D271/1000</f>
        <v>-35217.550000000003</v>
      </c>
      <c r="E272" s="25"/>
      <c r="F272" s="25"/>
      <c r="H272" s="7"/>
    </row>
    <row r="273" spans="2:12" ht="16.5" customHeight="1" thickBot="1" x14ac:dyDescent="0.4">
      <c r="C273" s="34"/>
      <c r="D273" s="60"/>
      <c r="E273" s="25"/>
      <c r="F273" s="25"/>
      <c r="H273" s="7"/>
    </row>
    <row r="274" spans="2:12" ht="16.5" customHeight="1" thickBot="1" x14ac:dyDescent="0.4">
      <c r="C274" s="33" t="s">
        <v>183</v>
      </c>
      <c r="D274" s="33"/>
      <c r="E274" s="25"/>
      <c r="F274" s="25"/>
      <c r="H274" s="22"/>
    </row>
    <row r="275" spans="2:12" ht="16.5" customHeight="1" thickBot="1" x14ac:dyDescent="0.4">
      <c r="C275" s="34" t="s">
        <v>288</v>
      </c>
      <c r="D275" s="78">
        <f>D267</f>
        <v>7043.51</v>
      </c>
      <c r="E275" s="25"/>
      <c r="F275" s="25"/>
      <c r="H275" s="7"/>
    </row>
    <row r="276" spans="2:12" ht="16.5" customHeight="1" thickBot="1" x14ac:dyDescent="0.4">
      <c r="C276" s="34" t="s">
        <v>289</v>
      </c>
      <c r="D276" s="60">
        <v>125000</v>
      </c>
      <c r="E276" s="25"/>
      <c r="F276" s="25"/>
      <c r="H276" s="7"/>
    </row>
    <row r="277" spans="2:12" ht="16.5" customHeight="1" thickBot="1" x14ac:dyDescent="0.4">
      <c r="C277" s="34" t="s">
        <v>290</v>
      </c>
      <c r="D277" s="58">
        <f>D238</f>
        <v>158263</v>
      </c>
      <c r="E277" s="25"/>
      <c r="F277" s="25"/>
      <c r="H277" s="7"/>
    </row>
    <row r="278" spans="2:12" ht="16.5" customHeight="1" thickBot="1" x14ac:dyDescent="0.4">
      <c r="C278" s="34" t="s">
        <v>291</v>
      </c>
      <c r="D278" s="60">
        <f>D239</f>
        <v>125000</v>
      </c>
      <c r="E278" s="25"/>
      <c r="F278" s="25"/>
      <c r="H278" s="7"/>
    </row>
    <row r="279" spans="2:12" ht="16.5" customHeight="1" thickBot="1" x14ac:dyDescent="0.4">
      <c r="C279" s="33" t="s">
        <v>160</v>
      </c>
      <c r="D279" s="61">
        <f>ROUND((D275*D276+D277*1000)/D278,2)</f>
        <v>8309.61</v>
      </c>
      <c r="E279" s="25"/>
      <c r="F279" s="25"/>
      <c r="H279" s="7"/>
      <c r="I279" s="27"/>
    </row>
    <row r="280" spans="2:12" ht="17.25" customHeight="1" x14ac:dyDescent="0.3"/>
    <row r="281" spans="2:12" ht="17.25" customHeight="1" x14ac:dyDescent="0.3">
      <c r="C281" s="20"/>
      <c r="D281" s="20"/>
      <c r="G281" s="20"/>
      <c r="H281" s="20"/>
      <c r="I281" s="20"/>
      <c r="J281" s="20"/>
      <c r="K281" s="20"/>
      <c r="L281" s="20"/>
    </row>
    <row r="282" spans="2:12" ht="18.600000000000001" thickBot="1" x14ac:dyDescent="0.35">
      <c r="B282" s="29" t="s">
        <v>331</v>
      </c>
      <c r="C282" s="28"/>
      <c r="D282" s="5"/>
      <c r="E282" s="5"/>
      <c r="F282" s="5"/>
      <c r="G282" s="5"/>
      <c r="H282" s="20"/>
      <c r="I282" s="20"/>
      <c r="J282" s="20"/>
      <c r="K282" s="20"/>
      <c r="L282" s="20"/>
    </row>
    <row r="283" spans="2:12" ht="16.5" customHeight="1" thickBot="1" x14ac:dyDescent="0.35">
      <c r="C283" s="33"/>
      <c r="D283" s="38" t="s">
        <v>136</v>
      </c>
      <c r="E283" s="38" t="s">
        <v>59</v>
      </c>
      <c r="F283" s="38" t="s">
        <v>60</v>
      </c>
      <c r="H283" s="22"/>
    </row>
    <row r="284" spans="2:12" ht="16.5" customHeight="1" thickBot="1" x14ac:dyDescent="0.35">
      <c r="C284" s="33" t="s">
        <v>164</v>
      </c>
      <c r="D284" s="33"/>
      <c r="E284" s="33"/>
      <c r="F284" s="33"/>
      <c r="H284" s="22"/>
    </row>
    <row r="285" spans="2:12" ht="16.5" customHeight="1" thickBot="1" x14ac:dyDescent="0.35">
      <c r="C285" s="34" t="s">
        <v>161</v>
      </c>
      <c r="D285" s="58">
        <f>E47+D95+D102</f>
        <v>1023450.2</v>
      </c>
      <c r="E285" s="60"/>
      <c r="F285" s="60"/>
      <c r="H285" s="7"/>
    </row>
    <row r="286" spans="2:12" ht="16.5" customHeight="1" thickBot="1" x14ac:dyDescent="0.35">
      <c r="C286" s="34" t="s">
        <v>237</v>
      </c>
      <c r="D286" s="60"/>
      <c r="E286" s="60">
        <f>E93</f>
        <v>85000</v>
      </c>
      <c r="F286" s="60">
        <f>F93</f>
        <v>40000</v>
      </c>
      <c r="H286" s="7"/>
    </row>
    <row r="287" spans="2:12" ht="16.5" customHeight="1" thickBot="1" x14ac:dyDescent="0.35">
      <c r="C287" s="34"/>
      <c r="D287" s="60"/>
      <c r="E287" s="60"/>
      <c r="F287" s="60"/>
      <c r="H287" s="7"/>
    </row>
    <row r="288" spans="2:12" ht="16.5" customHeight="1" thickBot="1" x14ac:dyDescent="0.35">
      <c r="C288" s="33" t="s">
        <v>180</v>
      </c>
      <c r="D288" s="33"/>
      <c r="E288" s="33"/>
      <c r="F288" s="33"/>
      <c r="H288" s="22"/>
    </row>
    <row r="289" spans="3:9" ht="16.5" customHeight="1" thickBot="1" x14ac:dyDescent="0.35">
      <c r="C289" s="34" t="s">
        <v>292</v>
      </c>
      <c r="D289" s="58">
        <f>D226</f>
        <v>865187.2</v>
      </c>
      <c r="E289" s="60"/>
      <c r="F289" s="60"/>
      <c r="H289" s="7"/>
    </row>
    <row r="290" spans="3:9" ht="16.5" customHeight="1" thickBot="1" x14ac:dyDescent="0.35">
      <c r="C290" s="34" t="s">
        <v>237</v>
      </c>
      <c r="D290" s="60"/>
      <c r="E290" s="60">
        <f>E286</f>
        <v>85000</v>
      </c>
      <c r="F290" s="60">
        <f>F286</f>
        <v>40000</v>
      </c>
      <c r="H290" s="7"/>
    </row>
    <row r="291" spans="3:9" ht="16.5" customHeight="1" thickBot="1" x14ac:dyDescent="0.35">
      <c r="C291" s="34" t="s">
        <v>293</v>
      </c>
      <c r="D291" s="46"/>
      <c r="E291" s="64">
        <v>1</v>
      </c>
      <c r="F291" s="64">
        <v>1.2</v>
      </c>
      <c r="H291" s="7"/>
    </row>
    <row r="292" spans="3:9" ht="16.5" customHeight="1" thickBot="1" x14ac:dyDescent="0.35">
      <c r="C292" s="33" t="s">
        <v>169</v>
      </c>
      <c r="D292" s="60"/>
      <c r="E292" s="65">
        <f>E290*E291</f>
        <v>85000</v>
      </c>
      <c r="F292" s="65">
        <f>F290*F291</f>
        <v>48000</v>
      </c>
      <c r="H292" s="7"/>
    </row>
    <row r="293" spans="3:9" ht="16.5" customHeight="1" thickBot="1" x14ac:dyDescent="0.35">
      <c r="C293" s="34" t="s">
        <v>170</v>
      </c>
      <c r="D293" s="60">
        <f>E292+F292</f>
        <v>133000</v>
      </c>
      <c r="E293" s="60"/>
      <c r="F293" s="60"/>
      <c r="H293" s="7"/>
    </row>
    <row r="294" spans="3:9" ht="16.5" customHeight="1" thickBot="1" x14ac:dyDescent="0.35">
      <c r="C294" s="33" t="s">
        <v>239</v>
      </c>
      <c r="D294" s="61">
        <f>ROUND(D289/D293*1000,2)</f>
        <v>6505.17</v>
      </c>
      <c r="E294" s="66"/>
      <c r="F294" s="66"/>
      <c r="H294" s="7"/>
    </row>
    <row r="295" spans="3:9" ht="16.5" customHeight="1" thickBot="1" x14ac:dyDescent="0.35">
      <c r="C295" s="34" t="s">
        <v>293</v>
      </c>
      <c r="D295" s="66"/>
      <c r="E295" s="64">
        <f>E291</f>
        <v>1</v>
      </c>
      <c r="F295" s="64">
        <f>F291</f>
        <v>1.2</v>
      </c>
      <c r="H295" s="7"/>
    </row>
    <row r="296" spans="3:9" ht="16.5" customHeight="1" thickBot="1" x14ac:dyDescent="0.35">
      <c r="C296" s="33" t="s">
        <v>294</v>
      </c>
      <c r="D296" s="67"/>
      <c r="E296" s="61">
        <f>ROUND($D294*E291,2)</f>
        <v>6505.17</v>
      </c>
      <c r="F296" s="61">
        <f>ROUND($D294*F291,2)</f>
        <v>7806.2</v>
      </c>
      <c r="H296" s="7"/>
      <c r="I296" s="26"/>
    </row>
    <row r="297" spans="3:9" ht="16.5" customHeight="1" thickBot="1" x14ac:dyDescent="0.35">
      <c r="C297" s="34"/>
      <c r="D297" s="66"/>
      <c r="E297" s="64"/>
      <c r="F297" s="64"/>
      <c r="H297" s="7"/>
    </row>
    <row r="298" spans="3:9" ht="16.5" customHeight="1" thickBot="1" x14ac:dyDescent="0.35">
      <c r="C298" s="33" t="s">
        <v>181</v>
      </c>
      <c r="D298" s="33"/>
      <c r="E298" s="33"/>
      <c r="F298" s="33"/>
      <c r="H298" s="22"/>
    </row>
    <row r="299" spans="3:9" ht="16.5" customHeight="1" thickBot="1" x14ac:dyDescent="0.35">
      <c r="C299" s="34" t="s">
        <v>295</v>
      </c>
      <c r="D299" s="58">
        <f>D285-D289</f>
        <v>158263</v>
      </c>
      <c r="E299" s="60"/>
      <c r="F299" s="60"/>
      <c r="H299" s="7"/>
    </row>
    <row r="300" spans="3:9" ht="16.5" customHeight="1" thickBot="1" x14ac:dyDescent="0.35">
      <c r="C300" s="34" t="s">
        <v>237</v>
      </c>
      <c r="D300" s="60"/>
      <c r="E300" s="60">
        <f>E286</f>
        <v>85000</v>
      </c>
      <c r="F300" s="60">
        <f>F286</f>
        <v>40000</v>
      </c>
      <c r="H300" s="7"/>
    </row>
    <row r="301" spans="3:9" ht="16.5" customHeight="1" thickBot="1" x14ac:dyDescent="0.35">
      <c r="C301" s="34" t="s">
        <v>296</v>
      </c>
      <c r="D301" s="46"/>
      <c r="E301" s="64">
        <v>0.7</v>
      </c>
      <c r="F301" s="64">
        <v>1</v>
      </c>
      <c r="H301" s="7"/>
    </row>
    <row r="302" spans="3:9" ht="16.5" customHeight="1" thickBot="1" x14ac:dyDescent="0.35">
      <c r="C302" s="33" t="s">
        <v>169</v>
      </c>
      <c r="D302" s="60"/>
      <c r="E302" s="65">
        <f>E300*E301</f>
        <v>59499.999999999993</v>
      </c>
      <c r="F302" s="65">
        <f>F300*F301</f>
        <v>40000</v>
      </c>
      <c r="H302" s="7"/>
    </row>
    <row r="303" spans="3:9" ht="16.5" customHeight="1" thickBot="1" x14ac:dyDescent="0.35">
      <c r="C303" s="34" t="s">
        <v>170</v>
      </c>
      <c r="D303" s="60">
        <f>E302+F302</f>
        <v>99500</v>
      </c>
      <c r="E303" s="60"/>
      <c r="F303" s="60"/>
      <c r="H303" s="7"/>
    </row>
    <row r="304" spans="3:9" ht="16.5" customHeight="1" thickBot="1" x14ac:dyDescent="0.35">
      <c r="C304" s="33" t="s">
        <v>239</v>
      </c>
      <c r="D304" s="61">
        <f>ROUND(D299/D303*1000,2)</f>
        <v>1590.58</v>
      </c>
      <c r="E304" s="66"/>
      <c r="F304" s="66"/>
      <c r="H304" s="7"/>
    </row>
    <row r="305" spans="2:12" ht="16.5" customHeight="1" thickBot="1" x14ac:dyDescent="0.35">
      <c r="C305" s="34" t="s">
        <v>296</v>
      </c>
      <c r="D305" s="66"/>
      <c r="E305" s="64">
        <f>E301</f>
        <v>0.7</v>
      </c>
      <c r="F305" s="64">
        <f>F301</f>
        <v>1</v>
      </c>
      <c r="H305" s="7"/>
    </row>
    <row r="306" spans="2:12" ht="16.5" customHeight="1" thickBot="1" x14ac:dyDescent="0.35">
      <c r="C306" s="33" t="s">
        <v>297</v>
      </c>
      <c r="D306" s="67"/>
      <c r="E306" s="61">
        <f>ROUND($D304*E301,2)</f>
        <v>1113.4100000000001</v>
      </c>
      <c r="F306" s="61">
        <f>ROUND($D304*F301,2)</f>
        <v>1590.58</v>
      </c>
      <c r="H306" s="7"/>
      <c r="I306" s="26"/>
    </row>
    <row r="307" spans="2:12" ht="16.5" customHeight="1" thickBot="1" x14ac:dyDescent="0.35">
      <c r="C307" s="34"/>
      <c r="D307" s="66"/>
      <c r="E307" s="64"/>
      <c r="F307" s="64"/>
      <c r="H307" s="7"/>
    </row>
    <row r="308" spans="2:12" ht="16.5" customHeight="1" thickBot="1" x14ac:dyDescent="0.35">
      <c r="C308" s="33" t="s">
        <v>50</v>
      </c>
      <c r="D308" s="33"/>
      <c r="E308" s="33"/>
      <c r="F308" s="33"/>
      <c r="H308" s="22"/>
    </row>
    <row r="309" spans="2:12" ht="16.5" customHeight="1" thickBot="1" x14ac:dyDescent="0.35">
      <c r="C309" s="34" t="s">
        <v>298</v>
      </c>
      <c r="D309" s="46"/>
      <c r="E309" s="78">
        <f>E296</f>
        <v>6505.17</v>
      </c>
      <c r="F309" s="78">
        <f>F296</f>
        <v>7806.2</v>
      </c>
      <c r="H309" s="7"/>
      <c r="I309" s="26"/>
    </row>
    <row r="310" spans="2:12" ht="16.5" customHeight="1" thickBot="1" x14ac:dyDescent="0.35">
      <c r="C310" s="34" t="s">
        <v>299</v>
      </c>
      <c r="D310" s="46"/>
      <c r="E310" s="78">
        <f>E306</f>
        <v>1113.4100000000001</v>
      </c>
      <c r="F310" s="78">
        <f>F306</f>
        <v>1590.58</v>
      </c>
      <c r="H310" s="7"/>
      <c r="I310" s="26"/>
    </row>
    <row r="311" spans="2:12" ht="16.5" customHeight="1" thickBot="1" x14ac:dyDescent="0.35">
      <c r="C311" s="33" t="s">
        <v>160</v>
      </c>
      <c r="D311" s="58"/>
      <c r="E311" s="61">
        <f>E296+E306</f>
        <v>7618.58</v>
      </c>
      <c r="F311" s="61">
        <f>F296+F306</f>
        <v>9396.7799999999988</v>
      </c>
      <c r="H311" s="7"/>
      <c r="I311" s="26"/>
    </row>
    <row r="312" spans="2:12" ht="17.25" customHeight="1" x14ac:dyDescent="0.3"/>
    <row r="313" spans="2:12" ht="17.25" customHeight="1" x14ac:dyDescent="0.3"/>
    <row r="314" spans="2:12" ht="18.600000000000001" thickBot="1" x14ac:dyDescent="0.35">
      <c r="B314" s="29" t="s">
        <v>332</v>
      </c>
      <c r="C314" s="28"/>
      <c r="D314" s="5"/>
      <c r="E314" s="5"/>
      <c r="F314" s="5"/>
      <c r="G314" s="5"/>
      <c r="H314" s="20"/>
      <c r="I314" s="20"/>
      <c r="J314" s="20"/>
      <c r="K314" s="20"/>
      <c r="L314" s="20"/>
    </row>
    <row r="315" spans="2:12" ht="16.5" customHeight="1" thickBot="1" x14ac:dyDescent="0.35">
      <c r="C315" s="33"/>
      <c r="D315" s="38" t="s">
        <v>136</v>
      </c>
      <c r="E315" s="38" t="s">
        <v>59</v>
      </c>
      <c r="F315" s="38" t="s">
        <v>60</v>
      </c>
      <c r="H315" s="22"/>
    </row>
    <row r="316" spans="2:12" ht="16.5" customHeight="1" thickBot="1" x14ac:dyDescent="0.35">
      <c r="C316" s="33" t="s">
        <v>166</v>
      </c>
      <c r="D316" s="33"/>
      <c r="E316" s="33"/>
      <c r="F316" s="33"/>
    </row>
    <row r="317" spans="2:12" ht="16.5" customHeight="1" thickBot="1" x14ac:dyDescent="0.35">
      <c r="C317" s="34" t="s">
        <v>203</v>
      </c>
      <c r="D317" s="46">
        <f>E57</f>
        <v>458600</v>
      </c>
      <c r="E317" s="34"/>
      <c r="F317" s="52"/>
    </row>
    <row r="318" spans="2:12" ht="16.5" customHeight="1" thickBot="1" x14ac:dyDescent="0.35">
      <c r="C318" s="34" t="s">
        <v>199</v>
      </c>
      <c r="D318" s="66"/>
      <c r="E318" s="78">
        <f>ROUND(E$117,2)</f>
        <v>3745.86</v>
      </c>
      <c r="F318" s="78">
        <f>ROUND(F$117,2)</f>
        <v>4495.04</v>
      </c>
    </row>
    <row r="319" spans="2:12" ht="16.5" customHeight="1" thickBot="1" x14ac:dyDescent="0.35">
      <c r="C319" s="34" t="s">
        <v>210</v>
      </c>
      <c r="D319" s="34"/>
      <c r="E319" s="60">
        <f>E93</f>
        <v>85000</v>
      </c>
      <c r="F319" s="60">
        <f>F93</f>
        <v>40000</v>
      </c>
    </row>
    <row r="320" spans="2:12" ht="16.5" customHeight="1" thickBot="1" x14ac:dyDescent="0.35">
      <c r="C320" s="34" t="s">
        <v>211</v>
      </c>
      <c r="D320" s="46"/>
      <c r="E320" s="46">
        <f>ROUND(E318*E319/1000,0)</f>
        <v>318398</v>
      </c>
      <c r="F320" s="46">
        <f>ROUND(F318*F319/1000,0)</f>
        <v>179802</v>
      </c>
    </row>
    <row r="321" spans="3:9" ht="16.5" customHeight="1" thickBot="1" x14ac:dyDescent="0.35">
      <c r="C321" s="34" t="s">
        <v>212</v>
      </c>
      <c r="D321" s="46">
        <f>E320+F320</f>
        <v>498200</v>
      </c>
      <c r="E321" s="78"/>
      <c r="F321" s="78"/>
      <c r="H321" s="27"/>
    </row>
    <row r="322" spans="3:9" ht="16.5" customHeight="1" thickBot="1" x14ac:dyDescent="0.35">
      <c r="C322" s="33" t="s">
        <v>198</v>
      </c>
      <c r="D322" s="79">
        <f>ROUND(D317/D321,4)</f>
        <v>0.92049999999999998</v>
      </c>
      <c r="E322" s="61"/>
      <c r="F322" s="61"/>
    </row>
    <row r="323" spans="3:9" ht="16.5" customHeight="1" thickBot="1" x14ac:dyDescent="0.35">
      <c r="C323" s="34" t="s">
        <v>201</v>
      </c>
      <c r="D323" s="66"/>
      <c r="E323" s="78">
        <f>E318</f>
        <v>3745.86</v>
      </c>
      <c r="F323" s="78">
        <f>F318</f>
        <v>4495.04</v>
      </c>
    </row>
    <row r="324" spans="3:9" ht="16.5" customHeight="1" thickBot="1" x14ac:dyDescent="0.35">
      <c r="C324" s="34" t="s">
        <v>200</v>
      </c>
      <c r="D324" s="34"/>
      <c r="E324" s="78">
        <f>ROUND(E323*$D322,2)</f>
        <v>3448.06</v>
      </c>
      <c r="F324" s="78">
        <f>ROUND(F323*$D322,2)</f>
        <v>4137.68</v>
      </c>
    </row>
    <row r="325" spans="3:9" ht="16.5" customHeight="1" thickBot="1" x14ac:dyDescent="0.35">
      <c r="C325" s="34" t="s">
        <v>202</v>
      </c>
      <c r="D325" s="34"/>
      <c r="E325" s="78">
        <f>ROUND(E$124,2)</f>
        <v>486.5</v>
      </c>
      <c r="F325" s="78">
        <f>ROUND(F$124,2)</f>
        <v>632.45000000000005</v>
      </c>
    </row>
    <row r="326" spans="3:9" ht="16.5" customHeight="1" thickBot="1" x14ac:dyDescent="0.35">
      <c r="C326" s="33" t="s">
        <v>160</v>
      </c>
      <c r="D326" s="66"/>
      <c r="E326" s="61">
        <f>E318+E325+E324</f>
        <v>7680.42</v>
      </c>
      <c r="F326" s="61">
        <f>F318+F325+F324</f>
        <v>9265.17</v>
      </c>
      <c r="I326" s="26"/>
    </row>
    <row r="327" spans="3:9" ht="16.5" customHeight="1" thickBot="1" x14ac:dyDescent="0.35">
      <c r="C327" s="34"/>
      <c r="D327" s="34"/>
      <c r="E327" s="34"/>
      <c r="F327" s="34"/>
    </row>
    <row r="328" spans="3:9" ht="16.5" customHeight="1" thickBot="1" x14ac:dyDescent="0.35">
      <c r="C328" s="33" t="s">
        <v>167</v>
      </c>
      <c r="D328" s="33"/>
      <c r="E328" s="33"/>
      <c r="F328" s="33"/>
    </row>
    <row r="329" spans="3:9" ht="16.5" customHeight="1" thickBot="1" x14ac:dyDescent="0.35">
      <c r="C329" s="34" t="s">
        <v>203</v>
      </c>
      <c r="D329" s="46">
        <f>E57</f>
        <v>458600</v>
      </c>
      <c r="E329" s="34"/>
      <c r="F329" s="52"/>
    </row>
    <row r="330" spans="3:9" ht="16.5" customHeight="1" thickBot="1" x14ac:dyDescent="0.35">
      <c r="C330" s="34" t="s">
        <v>199</v>
      </c>
      <c r="D330" s="34"/>
      <c r="E330" s="78">
        <f>ROUND(E$117,2)</f>
        <v>3745.86</v>
      </c>
      <c r="F330" s="78">
        <f>ROUND(F$117,2)</f>
        <v>4495.04</v>
      </c>
    </row>
    <row r="331" spans="3:9" ht="16.5" customHeight="1" thickBot="1" x14ac:dyDescent="0.35">
      <c r="C331" s="34" t="s">
        <v>204</v>
      </c>
      <c r="D331" s="66"/>
      <c r="E331" s="78">
        <f>ROUND(E$124,2)</f>
        <v>486.5</v>
      </c>
      <c r="F331" s="78">
        <f>ROUND(F$124,2)</f>
        <v>632.45000000000005</v>
      </c>
    </row>
    <row r="332" spans="3:9" ht="16.5" customHeight="1" thickBot="1" x14ac:dyDescent="0.35">
      <c r="C332" s="34" t="s">
        <v>210</v>
      </c>
      <c r="D332" s="34"/>
      <c r="E332" s="60">
        <f>E93</f>
        <v>85000</v>
      </c>
      <c r="F332" s="60">
        <f>F93</f>
        <v>40000</v>
      </c>
    </row>
    <row r="333" spans="3:9" ht="16.5" customHeight="1" thickBot="1" x14ac:dyDescent="0.35">
      <c r="C333" s="34" t="s">
        <v>213</v>
      </c>
      <c r="D333" s="46"/>
      <c r="E333" s="46">
        <f>ROUND(E331*E332/1000,0)</f>
        <v>41353</v>
      </c>
      <c r="F333" s="46">
        <f>ROUND(F331*F332/1000,0)</f>
        <v>25298</v>
      </c>
    </row>
    <row r="334" spans="3:9" ht="16.5" customHeight="1" thickBot="1" x14ac:dyDescent="0.35">
      <c r="C334" s="34" t="s">
        <v>214</v>
      </c>
      <c r="D334" s="46">
        <f>E333+F333</f>
        <v>66651</v>
      </c>
      <c r="E334" s="78"/>
      <c r="F334" s="78"/>
    </row>
    <row r="335" spans="3:9" ht="16.5" customHeight="1" thickBot="1" x14ac:dyDescent="0.35">
      <c r="C335" s="33" t="s">
        <v>198</v>
      </c>
      <c r="D335" s="79">
        <f>ROUND(D329/D334,4)</f>
        <v>6.8806000000000003</v>
      </c>
      <c r="E335" s="61"/>
      <c r="F335" s="61"/>
    </row>
    <row r="336" spans="3:9" ht="16.5" customHeight="1" thickBot="1" x14ac:dyDescent="0.35">
      <c r="C336" s="34" t="s">
        <v>205</v>
      </c>
      <c r="D336" s="66"/>
      <c r="E336" s="78">
        <f>E331</f>
        <v>486.5</v>
      </c>
      <c r="F336" s="78">
        <f>F331</f>
        <v>632.45000000000005</v>
      </c>
    </row>
    <row r="337" spans="3:9" ht="16.5" customHeight="1" thickBot="1" x14ac:dyDescent="0.35">
      <c r="C337" s="34" t="s">
        <v>200</v>
      </c>
      <c r="D337" s="34"/>
      <c r="E337" s="78">
        <f>ROUND(E336*$D335,2)</f>
        <v>3347.41</v>
      </c>
      <c r="F337" s="78">
        <f>ROUND(F336*$D335,2)</f>
        <v>4351.6400000000003</v>
      </c>
    </row>
    <row r="338" spans="3:9" ht="16.5" customHeight="1" thickBot="1" x14ac:dyDescent="0.35">
      <c r="C338" s="33" t="s">
        <v>160</v>
      </c>
      <c r="D338" s="66"/>
      <c r="E338" s="61">
        <f>E330+E331+E337</f>
        <v>7579.77</v>
      </c>
      <c r="F338" s="61">
        <f>F330+F331+F337</f>
        <v>9479.130000000001</v>
      </c>
      <c r="I338" s="26"/>
    </row>
    <row r="339" spans="3:9" ht="16.5" customHeight="1" thickBot="1" x14ac:dyDescent="0.35">
      <c r="C339" s="34"/>
      <c r="D339" s="34"/>
      <c r="E339" s="34"/>
      <c r="F339" s="34"/>
    </row>
    <row r="340" spans="3:9" ht="16.5" customHeight="1" thickBot="1" x14ac:dyDescent="0.35">
      <c r="C340" s="33" t="s">
        <v>168</v>
      </c>
      <c r="D340" s="33"/>
      <c r="E340" s="33"/>
      <c r="F340" s="33"/>
    </row>
    <row r="341" spans="3:9" ht="16.5" customHeight="1" thickBot="1" x14ac:dyDescent="0.35">
      <c r="C341" s="34" t="s">
        <v>203</v>
      </c>
      <c r="D341" s="46">
        <f>E57</f>
        <v>458600</v>
      </c>
      <c r="E341" s="34"/>
      <c r="F341" s="52"/>
    </row>
    <row r="342" spans="3:9" ht="16.5" customHeight="1" thickBot="1" x14ac:dyDescent="0.35">
      <c r="C342" s="34" t="s">
        <v>199</v>
      </c>
      <c r="D342" s="34"/>
      <c r="E342" s="78">
        <f>ROUND(E$117,2)</f>
        <v>3745.86</v>
      </c>
      <c r="F342" s="78">
        <f>ROUND(F$117,2)</f>
        <v>4495.04</v>
      </c>
    </row>
    <row r="343" spans="3:9" ht="16.5" customHeight="1" thickBot="1" x14ac:dyDescent="0.35">
      <c r="C343" s="34" t="s">
        <v>202</v>
      </c>
      <c r="D343" s="66"/>
      <c r="E343" s="78">
        <f>ROUND(E$124,2)</f>
        <v>486.5</v>
      </c>
      <c r="F343" s="78">
        <f>ROUND(F$124,2)</f>
        <v>632.45000000000005</v>
      </c>
    </row>
    <row r="344" spans="3:9" ht="16.5" customHeight="1" thickBot="1" x14ac:dyDescent="0.35">
      <c r="C344" s="34" t="s">
        <v>206</v>
      </c>
      <c r="D344" s="66"/>
      <c r="E344" s="78">
        <f>E342+E343</f>
        <v>4232.3600000000006</v>
      </c>
      <c r="F344" s="78">
        <f>F342+F343</f>
        <v>5127.49</v>
      </c>
    </row>
    <row r="345" spans="3:9" ht="16.5" customHeight="1" thickBot="1" x14ac:dyDescent="0.35">
      <c r="C345" s="34" t="s">
        <v>210</v>
      </c>
      <c r="D345" s="34"/>
      <c r="E345" s="60">
        <f>E93</f>
        <v>85000</v>
      </c>
      <c r="F345" s="60">
        <f>F93</f>
        <v>40000</v>
      </c>
    </row>
    <row r="346" spans="3:9" ht="16.5" customHeight="1" thickBot="1" x14ac:dyDescent="0.35">
      <c r="C346" s="34" t="s">
        <v>215</v>
      </c>
      <c r="D346" s="46"/>
      <c r="E346" s="46">
        <f>ROUND(E344*E345/1000,0)</f>
        <v>359751</v>
      </c>
      <c r="F346" s="46">
        <f>ROUND(F344*F345/1000,0)</f>
        <v>205100</v>
      </c>
    </row>
    <row r="347" spans="3:9" ht="16.5" customHeight="1" thickBot="1" x14ac:dyDescent="0.35">
      <c r="C347" s="34" t="s">
        <v>216</v>
      </c>
      <c r="D347" s="46">
        <f>E346+F346</f>
        <v>564851</v>
      </c>
      <c r="E347" s="78"/>
      <c r="F347" s="78"/>
    </row>
    <row r="348" spans="3:9" ht="16.5" customHeight="1" thickBot="1" x14ac:dyDescent="0.35">
      <c r="C348" s="33" t="s">
        <v>198</v>
      </c>
      <c r="D348" s="79">
        <f>ROUND(D341/D347,4)</f>
        <v>0.81189999999999996</v>
      </c>
      <c r="E348" s="61"/>
      <c r="F348" s="61"/>
    </row>
    <row r="349" spans="3:9" ht="16.5" customHeight="1" thickBot="1" x14ac:dyDescent="0.35">
      <c r="C349" s="34" t="s">
        <v>207</v>
      </c>
      <c r="D349" s="66"/>
      <c r="E349" s="78">
        <f>E344</f>
        <v>4232.3600000000006</v>
      </c>
      <c r="F349" s="78">
        <f>F344</f>
        <v>5127.49</v>
      </c>
    </row>
    <row r="350" spans="3:9" ht="16.5" customHeight="1" thickBot="1" x14ac:dyDescent="0.35">
      <c r="C350" s="34" t="s">
        <v>200</v>
      </c>
      <c r="D350" s="34"/>
      <c r="E350" s="78">
        <f>ROUND(E349*$D348,2)</f>
        <v>3436.25</v>
      </c>
      <c r="F350" s="78">
        <f>ROUND(F349*$D348,2)</f>
        <v>4163.01</v>
      </c>
    </row>
    <row r="351" spans="3:9" ht="16.5" customHeight="1" thickBot="1" x14ac:dyDescent="0.35">
      <c r="C351" s="33" t="s">
        <v>160</v>
      </c>
      <c r="D351" s="66"/>
      <c r="E351" s="61">
        <f>E342+E343+E350</f>
        <v>7668.6100000000006</v>
      </c>
      <c r="F351" s="61">
        <f>F342+F343+F350</f>
        <v>9290.5</v>
      </c>
      <c r="I351" s="26"/>
    </row>
    <row r="352" spans="3:9" ht="17.25" customHeight="1" x14ac:dyDescent="0.3"/>
    <row r="353" spans="2:12" ht="17.25" customHeight="1" x14ac:dyDescent="0.3"/>
    <row r="354" spans="2:12" ht="18.600000000000001" thickBot="1" x14ac:dyDescent="0.35">
      <c r="B354" s="29" t="s">
        <v>333</v>
      </c>
      <c r="C354" s="28"/>
      <c r="D354" s="5"/>
      <c r="E354" s="5"/>
      <c r="F354" s="5"/>
      <c r="G354" s="5"/>
      <c r="H354" s="20"/>
      <c r="I354" s="20"/>
      <c r="J354" s="20"/>
      <c r="K354" s="20"/>
      <c r="L354" s="20"/>
    </row>
    <row r="355" spans="2:12" ht="17.25" customHeight="1" thickBot="1" x14ac:dyDescent="0.35">
      <c r="C355" s="33"/>
      <c r="D355" s="38" t="s">
        <v>223</v>
      </c>
      <c r="E355" s="38" t="s">
        <v>59</v>
      </c>
      <c r="F355" s="38" t="s">
        <v>60</v>
      </c>
    </row>
    <row r="356" spans="2:12" ht="17.25" customHeight="1" thickBot="1" x14ac:dyDescent="0.35">
      <c r="C356" s="33" t="s">
        <v>232</v>
      </c>
      <c r="D356" s="33"/>
      <c r="E356" s="33"/>
      <c r="F356" s="33"/>
    </row>
    <row r="357" spans="2:12" ht="17.25" customHeight="1" thickBot="1" x14ac:dyDescent="0.35">
      <c r="C357" s="34" t="s">
        <v>229</v>
      </c>
      <c r="D357" s="73">
        <v>1000000</v>
      </c>
      <c r="E357" s="34"/>
      <c r="F357" s="52"/>
    </row>
    <row r="358" spans="2:12" ht="17.25" customHeight="1" thickBot="1" x14ac:dyDescent="0.35">
      <c r="C358" s="34" t="s">
        <v>224</v>
      </c>
      <c r="D358" s="66"/>
      <c r="E358" s="78">
        <f>ROUND(E205,2)</f>
        <v>8150.8</v>
      </c>
      <c r="F358" s="78">
        <f>ROUND(F205,2)</f>
        <v>10245.41</v>
      </c>
    </row>
    <row r="359" spans="2:12" ht="17.25" customHeight="1" thickBot="1" x14ac:dyDescent="0.35">
      <c r="C359" s="34" t="s">
        <v>225</v>
      </c>
      <c r="D359" s="34"/>
      <c r="E359" s="60">
        <v>200</v>
      </c>
      <c r="F359" s="60">
        <v>100</v>
      </c>
    </row>
    <row r="360" spans="2:12" ht="17.25" customHeight="1" thickBot="1" x14ac:dyDescent="0.35">
      <c r="C360" s="34" t="s">
        <v>226</v>
      </c>
      <c r="D360" s="46"/>
      <c r="E360" s="46">
        <f>ROUND(E358*E359,0)</f>
        <v>1630160</v>
      </c>
      <c r="F360" s="46">
        <f>ROUND(F358*F359,0)</f>
        <v>1024541</v>
      </c>
    </row>
    <row r="361" spans="2:12" ht="28.2" thickBot="1" x14ac:dyDescent="0.35">
      <c r="C361" s="34" t="s">
        <v>227</v>
      </c>
      <c r="D361" s="73">
        <f>E360+F360</f>
        <v>2654701</v>
      </c>
      <c r="E361" s="78"/>
      <c r="F361" s="78"/>
    </row>
    <row r="362" spans="2:12" ht="17.25" customHeight="1" thickBot="1" x14ac:dyDescent="0.35">
      <c r="C362" s="33" t="s">
        <v>236</v>
      </c>
      <c r="D362" s="79">
        <f>ROUND(D357/D361,4)</f>
        <v>0.37669999999999998</v>
      </c>
      <c r="E362" s="61"/>
      <c r="F362" s="61"/>
    </row>
    <row r="363" spans="2:12" ht="17.25" customHeight="1" thickBot="1" x14ac:dyDescent="0.35">
      <c r="C363" s="34" t="s">
        <v>228</v>
      </c>
      <c r="D363" s="66"/>
      <c r="E363" s="78">
        <f>E358</f>
        <v>8150.8</v>
      </c>
      <c r="F363" s="78">
        <f>F358</f>
        <v>10245.41</v>
      </c>
    </row>
    <row r="364" spans="2:12" ht="17.25" customHeight="1" thickBot="1" x14ac:dyDescent="0.35">
      <c r="C364" s="34" t="s">
        <v>230</v>
      </c>
      <c r="D364" s="34"/>
      <c r="E364" s="78">
        <f>ROUND(E363*$D362,2)</f>
        <v>3070.41</v>
      </c>
      <c r="F364" s="78">
        <f>ROUND(F363*$D362,2)</f>
        <v>3859.45</v>
      </c>
    </row>
    <row r="365" spans="2:12" ht="17.25" customHeight="1" thickBot="1" x14ac:dyDescent="0.35">
      <c r="C365" s="33" t="s">
        <v>160</v>
      </c>
      <c r="D365" s="66"/>
      <c r="E365" s="61">
        <f>E358+E364</f>
        <v>11221.21</v>
      </c>
      <c r="F365" s="61">
        <f>F358+F364</f>
        <v>14104.86</v>
      </c>
    </row>
    <row r="366" spans="2:12" ht="17.25" customHeight="1" thickBot="1" x14ac:dyDescent="0.35">
      <c r="C366" s="33"/>
      <c r="D366" s="66"/>
      <c r="E366" s="61"/>
      <c r="F366" s="61"/>
    </row>
    <row r="367" spans="2:12" ht="17.25" customHeight="1" thickBot="1" x14ac:dyDescent="0.35">
      <c r="C367" s="33" t="s">
        <v>231</v>
      </c>
      <c r="D367" s="33"/>
      <c r="E367" s="33"/>
      <c r="F367" s="33"/>
    </row>
    <row r="368" spans="2:12" ht="17.25" customHeight="1" thickBot="1" x14ac:dyDescent="0.35">
      <c r="C368" s="34" t="s">
        <v>224</v>
      </c>
      <c r="D368" s="73"/>
      <c r="E368" s="78">
        <f>E358</f>
        <v>8150.8</v>
      </c>
      <c r="F368" s="78">
        <f>F358</f>
        <v>10245.41</v>
      </c>
    </row>
    <row r="369" spans="2:12" ht="17.25" customHeight="1" thickBot="1" x14ac:dyDescent="0.35">
      <c r="C369" s="34" t="s">
        <v>234</v>
      </c>
      <c r="D369" s="71"/>
      <c r="E369" s="71">
        <v>0.9</v>
      </c>
      <c r="F369" s="71">
        <v>0.9</v>
      </c>
    </row>
    <row r="370" spans="2:12" ht="17.25" customHeight="1" thickBot="1" x14ac:dyDescent="0.35">
      <c r="C370" s="34" t="s">
        <v>228</v>
      </c>
      <c r="D370" s="34"/>
      <c r="E370" s="78">
        <f>E368</f>
        <v>8150.8</v>
      </c>
      <c r="F370" s="78">
        <f>F368</f>
        <v>10245.41</v>
      </c>
    </row>
    <row r="371" spans="2:12" ht="17.25" customHeight="1" thickBot="1" x14ac:dyDescent="0.35">
      <c r="C371" s="34" t="s">
        <v>235</v>
      </c>
      <c r="D371" s="78"/>
      <c r="E371" s="78">
        <f>ROUND(E369*E370,2)</f>
        <v>7335.72</v>
      </c>
      <c r="F371" s="78">
        <f>ROUND(F369*F370,2)</f>
        <v>9220.8700000000008</v>
      </c>
    </row>
    <row r="372" spans="2:12" ht="17.25" customHeight="1" thickBot="1" x14ac:dyDescent="0.35">
      <c r="C372" s="33" t="s">
        <v>233</v>
      </c>
      <c r="D372" s="78"/>
      <c r="E372" s="61">
        <f>E368+E371</f>
        <v>15486.52</v>
      </c>
      <c r="F372" s="61">
        <f>F368+F371</f>
        <v>19466.28</v>
      </c>
    </row>
    <row r="373" spans="2:12" ht="17.25" customHeight="1" x14ac:dyDescent="0.3"/>
    <row r="374" spans="2:12" ht="17.25" customHeight="1" x14ac:dyDescent="0.3"/>
    <row r="375" spans="2:12" ht="18.600000000000001" thickBot="1" x14ac:dyDescent="0.35">
      <c r="B375" s="29" t="s">
        <v>334</v>
      </c>
      <c r="C375" s="28"/>
      <c r="D375" s="5"/>
      <c r="E375" s="5"/>
      <c r="F375" s="5"/>
      <c r="G375" s="5"/>
      <c r="H375" s="20"/>
      <c r="I375" s="20"/>
      <c r="J375" s="20"/>
      <c r="K375" s="20"/>
      <c r="L375" s="20"/>
    </row>
    <row r="376" spans="2:12" ht="16.5" customHeight="1" thickBot="1" x14ac:dyDescent="0.4">
      <c r="C376" s="33"/>
      <c r="D376" s="38" t="s">
        <v>136</v>
      </c>
      <c r="E376" s="25"/>
      <c r="F376" s="25"/>
      <c r="H376" s="22"/>
      <c r="I376" s="24"/>
    </row>
    <row r="377" spans="2:12" ht="16.5" customHeight="1" thickBot="1" x14ac:dyDescent="0.4">
      <c r="C377" s="33"/>
      <c r="D377" s="33"/>
      <c r="E377" s="25"/>
      <c r="F377" s="25"/>
      <c r="H377" s="22"/>
    </row>
    <row r="378" spans="2:12" ht="16.5" customHeight="1" thickBot="1" x14ac:dyDescent="0.4">
      <c r="C378" s="34" t="s">
        <v>185</v>
      </c>
      <c r="D378" s="46">
        <f>D392</f>
        <v>1102634</v>
      </c>
      <c r="E378" s="25"/>
      <c r="F378" s="25"/>
    </row>
    <row r="379" spans="2:12" ht="16.5" customHeight="1" thickBot="1" x14ac:dyDescent="0.4">
      <c r="C379" s="34" t="s">
        <v>186</v>
      </c>
      <c r="D379" s="46">
        <v>0</v>
      </c>
      <c r="E379" s="25"/>
      <c r="F379" s="25"/>
    </row>
    <row r="380" spans="2:12" ht="16.5" customHeight="1" thickBot="1" x14ac:dyDescent="0.4">
      <c r="C380" s="34" t="s">
        <v>187</v>
      </c>
      <c r="D380" s="67">
        <v>0</v>
      </c>
      <c r="E380" s="25"/>
      <c r="F380" s="25"/>
    </row>
    <row r="381" spans="2:12" ht="16.5" customHeight="1" thickBot="1" x14ac:dyDescent="0.4">
      <c r="C381" s="33" t="s">
        <v>188</v>
      </c>
      <c r="D381" s="67">
        <f>D378+D379+D380</f>
        <v>1102634</v>
      </c>
      <c r="E381" s="25"/>
      <c r="F381" s="25"/>
    </row>
    <row r="382" spans="2:12" ht="16.5" customHeight="1" thickBot="1" x14ac:dyDescent="0.4">
      <c r="C382" s="34" t="s">
        <v>242</v>
      </c>
      <c r="D382" s="46">
        <f>E4+E6</f>
        <v>530000</v>
      </c>
      <c r="E382" s="25"/>
      <c r="F382" s="25"/>
    </row>
    <row r="383" spans="2:12" ht="16.5" customHeight="1" thickBot="1" x14ac:dyDescent="0.4">
      <c r="C383" s="34" t="s">
        <v>189</v>
      </c>
      <c r="D383" s="46">
        <f>E5+E7+E8</f>
        <v>215000</v>
      </c>
      <c r="E383" s="25"/>
      <c r="F383" s="25"/>
    </row>
    <row r="384" spans="2:12" ht="16.5" customHeight="1" thickBot="1" x14ac:dyDescent="0.4">
      <c r="C384" s="34" t="s">
        <v>190</v>
      </c>
      <c r="D384" s="46">
        <f>E9</f>
        <v>38000</v>
      </c>
      <c r="E384" s="25"/>
      <c r="F384" s="25"/>
    </row>
    <row r="385" spans="2:12" ht="16.5" customHeight="1" thickBot="1" x14ac:dyDescent="0.4">
      <c r="C385" s="34" t="s">
        <v>243</v>
      </c>
      <c r="D385" s="46">
        <f>SUM(E10:E13)</f>
        <v>240450</v>
      </c>
      <c r="E385" s="25"/>
      <c r="F385" s="25"/>
    </row>
    <row r="386" spans="2:12" ht="16.5" customHeight="1" thickBot="1" x14ac:dyDescent="0.4">
      <c r="C386" s="33" t="s">
        <v>191</v>
      </c>
      <c r="D386" s="67">
        <f>D381-D382-D383-D384-D385</f>
        <v>79184</v>
      </c>
      <c r="E386" s="25"/>
      <c r="F386" s="25"/>
    </row>
    <row r="387" spans="2:12" ht="17.25" customHeight="1" x14ac:dyDescent="0.3">
      <c r="E387" s="26"/>
      <c r="F387" s="26"/>
      <c r="H387" s="26"/>
    </row>
    <row r="388" spans="2:12" ht="17.25" customHeight="1" x14ac:dyDescent="0.3"/>
    <row r="389" spans="2:12" ht="18.600000000000001" thickBot="1" x14ac:dyDescent="0.35">
      <c r="B389" s="29" t="s">
        <v>335</v>
      </c>
      <c r="C389" s="28"/>
      <c r="D389" s="5"/>
      <c r="E389" s="5"/>
      <c r="F389" s="5"/>
      <c r="G389" s="5"/>
      <c r="H389" s="20"/>
      <c r="I389" s="20"/>
      <c r="J389" s="20"/>
      <c r="K389" s="20"/>
      <c r="L389" s="20"/>
    </row>
    <row r="390" spans="2:12" ht="16.5" customHeight="1" thickBot="1" x14ac:dyDescent="0.35">
      <c r="C390" s="33"/>
      <c r="D390" s="38" t="s">
        <v>136</v>
      </c>
      <c r="E390" s="38" t="s">
        <v>59</v>
      </c>
      <c r="F390" s="38" t="s">
        <v>60</v>
      </c>
      <c r="H390" s="22"/>
      <c r="I390" s="24"/>
    </row>
    <row r="391" spans="2:12" ht="16.5" customHeight="1" thickBot="1" x14ac:dyDescent="0.35">
      <c r="C391" s="33"/>
      <c r="D391" s="33"/>
      <c r="E391" s="33"/>
      <c r="F391" s="33"/>
      <c r="H391" s="22"/>
    </row>
    <row r="392" spans="2:12" ht="16.5" customHeight="1" thickBot="1" x14ac:dyDescent="0.35">
      <c r="C392" s="34" t="s">
        <v>185</v>
      </c>
      <c r="D392" s="46">
        <f t="shared" ref="D392:D397" si="15">E392+F392</f>
        <v>1102634</v>
      </c>
      <c r="E392" s="46">
        <f>ROUND(E202*E93/1000,0)</f>
        <v>692818</v>
      </c>
      <c r="F392" s="46">
        <f>ROUND(F202*F93/1000,0)</f>
        <v>409816</v>
      </c>
    </row>
    <row r="393" spans="2:12" ht="16.5" customHeight="1" thickBot="1" x14ac:dyDescent="0.35">
      <c r="C393" s="34" t="s">
        <v>244</v>
      </c>
      <c r="D393" s="46">
        <f t="shared" si="15"/>
        <v>865130</v>
      </c>
      <c r="E393" s="46">
        <f>ROUND((E134-0.24)*E93/1000,0)</f>
        <v>547312</v>
      </c>
      <c r="F393" s="46">
        <f>ROUND(F134*F93/1000,0)</f>
        <v>317818</v>
      </c>
    </row>
    <row r="394" spans="2:12" ht="16.5" customHeight="1" thickBot="1" x14ac:dyDescent="0.35">
      <c r="C394" s="33" t="s">
        <v>221</v>
      </c>
      <c r="D394" s="67">
        <f t="shared" si="15"/>
        <v>237504</v>
      </c>
      <c r="E394" s="67">
        <f>E392-E393</f>
        <v>145506</v>
      </c>
      <c r="F394" s="67">
        <f>F392-F393</f>
        <v>91998</v>
      </c>
    </row>
    <row r="395" spans="2:12" ht="16.5" customHeight="1" thickBot="1" x14ac:dyDescent="0.35">
      <c r="C395" s="34" t="s">
        <v>245</v>
      </c>
      <c r="D395" s="46">
        <f t="shared" si="15"/>
        <v>115930</v>
      </c>
      <c r="E395" s="46">
        <f>ROUND(E139*E93/1000,0)</f>
        <v>73342</v>
      </c>
      <c r="F395" s="46">
        <f>ROUND(F139*F93/1000,0)</f>
        <v>42588</v>
      </c>
    </row>
    <row r="396" spans="2:12" ht="16.5" customHeight="1" thickBot="1" x14ac:dyDescent="0.35">
      <c r="C396" s="34" t="s">
        <v>246</v>
      </c>
      <c r="D396" s="46">
        <f t="shared" si="15"/>
        <v>42392</v>
      </c>
      <c r="E396" s="46">
        <f>ROUND(E141*E93/1000,0)</f>
        <v>26819</v>
      </c>
      <c r="F396" s="46">
        <f>ROUND(F141*F93/1000,0)</f>
        <v>15573</v>
      </c>
    </row>
    <row r="397" spans="2:12" ht="16.5" customHeight="1" thickBot="1" x14ac:dyDescent="0.35">
      <c r="C397" s="33" t="s">
        <v>191</v>
      </c>
      <c r="D397" s="67">
        <f t="shared" si="15"/>
        <v>79182</v>
      </c>
      <c r="E397" s="67">
        <f>E394-E395-E396</f>
        <v>45345</v>
      </c>
      <c r="F397" s="67">
        <f>F394-F395-F396</f>
        <v>33837</v>
      </c>
    </row>
  </sheetData>
  <phoneticPr fontId="0" type="noConversion"/>
  <printOptions horizontalCentered="1"/>
  <pageMargins left="0.59055118110236227" right="0.59055118110236227" top="1.3385826771653544" bottom="0.9055118110236221" header="0.19685039370078741" footer="0.39370078740157483"/>
  <pageSetup paperSize="9" scale="56" firstPageNumber="524" fitToHeight="4" orientation="portrait" r:id="rId1"/>
  <headerFooter alignWithMargins="0">
    <oddFooter>&amp;L&amp;6Copyright © 2007 Vahs, D./Schäfer-Kunz, J.: Einführung in die Betriebswirtschaftslehre, 5. Auflage, 2007&amp;R&amp;10 15 Internes Rechnungswesen     &amp;14&amp;P</oddFooter>
  </headerFooter>
  <rowBreaks count="1" manualBreakCount="1">
    <brk id="114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Kapitel 01 Fallbeispiel</vt:lpstr>
      <vt:lpstr>Kapitel 10 Fallbeispiel</vt:lpstr>
      <vt:lpstr>Kapitel 11 Fallbeispiel</vt:lpstr>
      <vt:lpstr>'Kapitel 10 Fallbeispiel'!Druckbereich</vt:lpstr>
      <vt:lpstr>'Kapitel 11 Fallbeispiel'!Druckbereich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Vahs, D./Schäfer-Kunz, J.: Einführung in die Betriebswirtschaftslehre</dc:title>
  <dc:subject>Kalkulationstabellen</dc:subject>
  <dc:creator>Prof. Dr. Jan Schäfer-Kunz</dc:creator>
  <cp:keywords>Copyright © 2007 Schäffer-Poeschel Verlag für Wirtschaft · Steuern · Recht GmbH</cp:keywords>
  <cp:lastModifiedBy>Prof. Dr. Jan Schäfer-Kunz</cp:lastModifiedBy>
  <cp:lastPrinted>2007-08-24T18:57:45Z</cp:lastPrinted>
  <dcterms:created xsi:type="dcterms:W3CDTF">2002-07-15T10:18:59Z</dcterms:created>
  <dcterms:modified xsi:type="dcterms:W3CDTF">2020-06-30T15:57:10Z</dcterms:modified>
</cp:coreProperties>
</file>