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/>
  <mc:AlternateContent xmlns:mc="http://schemas.openxmlformats.org/markup-compatibility/2006">
    <mc:Choice Requires="x15">
      <x15ac:absPath xmlns:x15ac="http://schemas.microsoft.com/office/spreadsheetml/2010/11/ac" url="G:\OneDrive\Dokumente\Eigene Webs\einfuehrungindiebetriebswirtschaftslehre.de\dateien\klausurtraining\"/>
    </mc:Choice>
  </mc:AlternateContent>
  <xr:revisionPtr revIDLastSave="0" documentId="13_ncr:1_{50140780-C492-4A95-AD72-B8EE9E2F89BA}" xr6:coauthVersionLast="37" xr6:coauthVersionMax="37" xr10:uidLastSave="{00000000-0000-0000-0000-000000000000}"/>
  <bookViews>
    <workbookView xWindow="8352" yWindow="72" windowWidth="28512" windowHeight="14628" xr2:uid="{00000000-000D-0000-FFFF-FFFF00000000}"/>
  </bookViews>
  <sheets>
    <sheet name="0" sheetId="18" r:id="rId1"/>
    <sheet name="1-3" sheetId="10" r:id="rId2"/>
    <sheet name="2-4" sheetId="21" r:id="rId3"/>
    <sheet name="2-5" sheetId="22" r:id="rId4"/>
    <sheet name="2-6" sheetId="23" r:id="rId5"/>
    <sheet name="9-1" sheetId="1" r:id="rId6"/>
    <sheet name="9-2" sheetId="12" r:id="rId7"/>
    <sheet name="11-1" sheetId="15" r:id="rId8"/>
    <sheet name="11-2" sheetId="13" r:id="rId9"/>
    <sheet name="11-3" sheetId="26" r:id="rId10"/>
    <sheet name="12-3" sheetId="25" r:id="rId11"/>
    <sheet name="13-1" sheetId="14" r:id="rId12"/>
    <sheet name="13-2" sheetId="16" r:id="rId13"/>
    <sheet name="15-3" sheetId="17" r:id="rId14"/>
  </sheets>
  <definedNames>
    <definedName name="_xlnm.Print_Area" localSheetId="0">'0'!$A$1:$C$12</definedName>
    <definedName name="_xlnm.Print_Area" localSheetId="7">'11-1'!$A$1:$J$16</definedName>
    <definedName name="_xlnm.Print_Area" localSheetId="8">'11-2'!$A$1:$G$22</definedName>
    <definedName name="_xlnm.Print_Area" localSheetId="9">'11-3'!$A$1:$E$19</definedName>
    <definedName name="_xlnm.Print_Area" localSheetId="10">'12-3'!$A$1:$F$22</definedName>
    <definedName name="_xlnm.Print_Area" localSheetId="1">'1-3'!$A$1:$I$17</definedName>
    <definedName name="_xlnm.Print_Area" localSheetId="11">'13-1'!$A$1:$G$31</definedName>
    <definedName name="_xlnm.Print_Area" localSheetId="12">'13-2'!$A$1:$E$25</definedName>
    <definedName name="_xlnm.Print_Area" localSheetId="13">'15-3'!$A$1:$E$36</definedName>
    <definedName name="_xlnm.Print_Area" localSheetId="2">'2-4'!$A$1:$H$33</definedName>
    <definedName name="_xlnm.Print_Area" localSheetId="3">'2-5'!$A$1:$H$33</definedName>
    <definedName name="_xlnm.Print_Area" localSheetId="4">'2-6'!$A$1:$H$33</definedName>
    <definedName name="_xlnm.Print_Area" localSheetId="5">'9-1'!$A$1:$E$23</definedName>
    <definedName name="_xlnm.Print_Area" localSheetId="6">'9-2'!$A$1:$E$17</definedName>
  </definedNames>
  <calcPr calcId="179021"/>
</workbook>
</file>

<file path=xl/calcChain.xml><?xml version="1.0" encoding="utf-8"?>
<calcChain xmlns="http://schemas.openxmlformats.org/spreadsheetml/2006/main">
  <c r="D17" i="26" l="1"/>
  <c r="D20" i="26" s="1"/>
  <c r="D25" i="26" s="1"/>
  <c r="D11" i="26"/>
  <c r="D13" i="26" s="1"/>
  <c r="D7" i="26"/>
  <c r="D19" i="25" l="1"/>
  <c r="D18" i="25"/>
  <c r="D17" i="25"/>
  <c r="D16" i="25"/>
  <c r="D10" i="25"/>
  <c r="D20" i="25" s="1"/>
  <c r="D21" i="25" l="1"/>
  <c r="E21" i="14" l="1"/>
  <c r="E22" i="14"/>
  <c r="E20" i="14"/>
  <c r="D18" i="16"/>
  <c r="D15" i="16"/>
  <c r="D23" i="16" s="1"/>
  <c r="D22" i="16"/>
  <c r="D24" i="16" l="1"/>
  <c r="D21" i="16" l="1"/>
  <c r="E30" i="14"/>
  <c r="E29" i="14"/>
  <c r="E28" i="14"/>
  <c r="D30" i="14"/>
  <c r="D29" i="14"/>
  <c r="D28" i="14"/>
  <c r="F28" i="14" s="1"/>
  <c r="E27" i="14"/>
  <c r="F27" i="14" s="1"/>
  <c r="F30" i="14" l="1"/>
  <c r="F29" i="14"/>
  <c r="D22" i="1"/>
  <c r="E32" i="23"/>
  <c r="F32" i="23" s="1"/>
  <c r="D32" i="23"/>
  <c r="E31" i="23"/>
  <c r="F31" i="23" s="1"/>
  <c r="D31" i="23"/>
  <c r="E30" i="23"/>
  <c r="F30" i="23" s="1"/>
  <c r="D30" i="23"/>
  <c r="F25" i="23"/>
  <c r="E25" i="23"/>
  <c r="D25" i="23"/>
  <c r="F24" i="23"/>
  <c r="E24" i="23"/>
  <c r="D24" i="23"/>
  <c r="F23" i="23"/>
  <c r="E23" i="23"/>
  <c r="D23" i="23"/>
  <c r="E18" i="23"/>
  <c r="D18" i="23"/>
  <c r="E17" i="23"/>
  <c r="D17" i="23"/>
  <c r="E16" i="23"/>
  <c r="D16" i="23"/>
  <c r="D32" i="22"/>
  <c r="D31" i="22"/>
  <c r="D30" i="22"/>
  <c r="F25" i="22"/>
  <c r="E25" i="22"/>
  <c r="D25" i="22"/>
  <c r="F24" i="22"/>
  <c r="E24" i="22"/>
  <c r="D24" i="22"/>
  <c r="F23" i="22"/>
  <c r="E23" i="22"/>
  <c r="D23" i="22"/>
  <c r="E18" i="22"/>
  <c r="D18" i="22"/>
  <c r="E17" i="22"/>
  <c r="D17" i="22"/>
  <c r="E16" i="22"/>
  <c r="D16" i="22"/>
  <c r="E32" i="22"/>
  <c r="D32" i="21"/>
  <c r="D31" i="21"/>
  <c r="D30" i="21"/>
  <c r="F25" i="21"/>
  <c r="E25" i="21"/>
  <c r="D25" i="21"/>
  <c r="F24" i="21"/>
  <c r="E24" i="21"/>
  <c r="D24" i="21"/>
  <c r="F23" i="21"/>
  <c r="E23" i="21"/>
  <c r="D23" i="21"/>
  <c r="E18" i="21"/>
  <c r="D18" i="21"/>
  <c r="E17" i="21"/>
  <c r="D17" i="21"/>
  <c r="E16" i="21"/>
  <c r="D16" i="21"/>
  <c r="F6" i="21"/>
  <c r="E6" i="21"/>
  <c r="D6" i="21"/>
  <c r="F18" i="21" l="1"/>
  <c r="D21" i="1"/>
  <c r="G24" i="23"/>
  <c r="F18" i="23"/>
  <c r="G23" i="21"/>
  <c r="F16" i="22"/>
  <c r="F17" i="23"/>
  <c r="G25" i="23"/>
  <c r="F16" i="23"/>
  <c r="G23" i="23"/>
  <c r="G24" i="22"/>
  <c r="G23" i="22"/>
  <c r="F17" i="22"/>
  <c r="G25" i="22"/>
  <c r="F18" i="22"/>
  <c r="F32" i="22"/>
  <c r="E30" i="22"/>
  <c r="F30" i="22" s="1"/>
  <c r="E31" i="22"/>
  <c r="F31" i="22" s="1"/>
  <c r="F17" i="21"/>
  <c r="E32" i="21"/>
  <c r="F32" i="21" s="1"/>
  <c r="F16" i="21"/>
  <c r="G25" i="21"/>
  <c r="G24" i="21"/>
  <c r="E31" i="21"/>
  <c r="F31" i="21" s="1"/>
  <c r="E30" i="21"/>
  <c r="F30" i="21" s="1"/>
  <c r="D21" i="17" l="1"/>
  <c r="D22" i="17" s="1"/>
  <c r="D28" i="17"/>
  <c r="E12" i="15"/>
  <c r="E13" i="15" s="1"/>
  <c r="F14" i="15" s="1"/>
  <c r="F12" i="15"/>
  <c r="F13" i="15" s="1"/>
  <c r="G12" i="15"/>
  <c r="G13" i="15" s="1"/>
  <c r="H12" i="15"/>
  <c r="H13" i="15" s="1"/>
  <c r="I12" i="15"/>
  <c r="I13" i="15" s="1"/>
  <c r="D34" i="17" l="1"/>
  <c r="D35" i="17" s="1"/>
  <c r="F15" i="15"/>
  <c r="D23" i="17"/>
  <c r="I14" i="15"/>
  <c r="I15" i="15" s="1"/>
  <c r="G14" i="15"/>
  <c r="G15" i="15" s="1"/>
  <c r="H14" i="15"/>
  <c r="H15" i="15" s="1"/>
  <c r="F15" i="13"/>
  <c r="E15" i="13"/>
  <c r="F14" i="13"/>
  <c r="E14" i="13"/>
  <c r="D15" i="12"/>
  <c r="D12" i="12"/>
  <c r="D13" i="12" s="1"/>
  <c r="G16" i="10"/>
  <c r="G15" i="10" s="1"/>
  <c r="G14" i="10" s="1"/>
  <c r="G13" i="10" s="1"/>
  <c r="G12" i="10" s="1"/>
  <c r="G11" i="10" s="1"/>
  <c r="G10" i="10" s="1"/>
  <c r="G9" i="10" s="1"/>
  <c r="G8" i="10" s="1"/>
  <c r="G7" i="10" s="1"/>
  <c r="E7" i="10"/>
  <c r="E8" i="10" s="1"/>
  <c r="H7" i="10" l="1"/>
  <c r="D15" i="13"/>
  <c r="D10" i="13" s="1"/>
  <c r="D19" i="13" s="1"/>
  <c r="D14" i="13"/>
  <c r="D9" i="13" s="1"/>
  <c r="D16" i="12"/>
  <c r="D14" i="12"/>
  <c r="E9" i="10"/>
  <c r="H8" i="10"/>
  <c r="D18" i="13" l="1"/>
  <c r="D20" i="13"/>
  <c r="H9" i="10"/>
  <c r="E10" i="10"/>
  <c r="F20" i="13" l="1"/>
  <c r="F23" i="13" s="1"/>
  <c r="E20" i="13"/>
  <c r="E23" i="13" s="1"/>
  <c r="D12" i="13"/>
  <c r="D22" i="13" s="1"/>
  <c r="D11" i="13"/>
  <c r="D21" i="13" s="1"/>
  <c r="D23" i="13"/>
  <c r="E11" i="10"/>
  <c r="H10" i="10"/>
  <c r="E12" i="10" l="1"/>
  <c r="H11" i="10"/>
  <c r="H12" i="10" l="1"/>
  <c r="E13" i="10"/>
  <c r="H13" i="10" l="1"/>
  <c r="E14" i="10"/>
  <c r="E15" i="10" l="1"/>
  <c r="H14" i="10"/>
  <c r="E16" i="10" l="1"/>
  <c r="H16" i="10" s="1"/>
  <c r="H15" i="10"/>
  <c r="D11" i="1" l="1"/>
  <c r="D12" i="1" s="1"/>
</calcChain>
</file>

<file path=xl/sharedStrings.xml><?xml version="1.0" encoding="utf-8"?>
<sst xmlns="http://schemas.openxmlformats.org/spreadsheetml/2006/main" count="274" uniqueCount="185">
  <si>
    <t>Controlling</t>
  </si>
  <si>
    <t>Stückzahl</t>
  </si>
  <si>
    <t>Stückkosten</t>
  </si>
  <si>
    <t>Kostenelastizität</t>
  </si>
  <si>
    <t>Erfahrungsrate</t>
  </si>
  <si>
    <t>Insgesamt produzierte Anzahl</t>
  </si>
  <si>
    <t>Kosten je Erzeugnis</t>
  </si>
  <si>
    <t>Internes Rechnungswesen</t>
  </si>
  <si>
    <t>Entscheidungstheorie</t>
  </si>
  <si>
    <t>Umweltzustand 1</t>
  </si>
  <si>
    <t>Umweltzustand 2</t>
  </si>
  <si>
    <t>Umweltzustand 3</t>
  </si>
  <si>
    <t>Wahrscheinlichkeit</t>
  </si>
  <si>
    <t>Nutzenentgang 1</t>
  </si>
  <si>
    <t>Nutzenentgang 2</t>
  </si>
  <si>
    <t>Nutzenentgang 3</t>
  </si>
  <si>
    <t>Savage-Niehans</t>
  </si>
  <si>
    <t>μ</t>
  </si>
  <si>
    <t>σ</t>
  </si>
  <si>
    <t>Aktion A</t>
  </si>
  <si>
    <t>Aktion B</t>
  </si>
  <si>
    <t>Aktion C</t>
  </si>
  <si>
    <t>Materialeinzelkosten</t>
  </si>
  <si>
    <t>Fertigungseinzelkosten</t>
  </si>
  <si>
    <t>Materialgemeinkostenzuschlagssatz</t>
  </si>
  <si>
    <t>Fertigungsgemeinkostenzuschlagssatz</t>
  </si>
  <si>
    <t>Verwaltungsgemeinkostenzuschlagssatz</t>
  </si>
  <si>
    <t>Vertriebsgemeinkostenzuschlagssatz</t>
  </si>
  <si>
    <t>Selbstkosten</t>
  </si>
  <si>
    <t>Grundlagen</t>
  </si>
  <si>
    <t>Angebotene</t>
  </si>
  <si>
    <t>Kumuliertes</t>
  </si>
  <si>
    <t>Nachgefragte</t>
  </si>
  <si>
    <t>Kumulierte</t>
  </si>
  <si>
    <t>Gehandelte</t>
  </si>
  <si>
    <t>Preislimit</t>
  </si>
  <si>
    <t>Aktien</t>
  </si>
  <si>
    <t>Angebot</t>
  </si>
  <si>
    <t>Nachfrage</t>
  </si>
  <si>
    <t>Umsatzerlös</t>
  </si>
  <si>
    <t>Variable Kosten</t>
  </si>
  <si>
    <t>Fixe Kosten</t>
  </si>
  <si>
    <t>Anlagevermögen</t>
  </si>
  <si>
    <t>Umlaufvermögen</t>
  </si>
  <si>
    <t>Deckungsbeitrag</t>
  </si>
  <si>
    <t>Gewinn</t>
  </si>
  <si>
    <t>Umsatzrentabilität</t>
  </si>
  <si>
    <t>Kapitalumschlag</t>
  </si>
  <si>
    <t>Return on Investment</t>
  </si>
  <si>
    <t>Stückzahl je Jahr</t>
  </si>
  <si>
    <t>3. Jahr</t>
  </si>
  <si>
    <t>2. Jahr</t>
  </si>
  <si>
    <t>1. Jahr</t>
  </si>
  <si>
    <t>0. Jahr</t>
  </si>
  <si>
    <t>Jahr</t>
  </si>
  <si>
    <t>Liquidationserlös der Maschine</t>
  </si>
  <si>
    <t>Anzahl der durch die Maschine zusätzlich produzier- und absetzbaren Erzeugnisse im 3. Jahr</t>
  </si>
  <si>
    <t>Anzahl der durch die Maschine zusätzlich produzier- und absetzbaren Erzeugnisse im 2. Jahr</t>
  </si>
  <si>
    <t>Anzahl der durch die Maschine zusätzlich produzier- und absetzbaren Erzeugnisse im 1. Jahr</t>
  </si>
  <si>
    <t>Durch die Maschine wegrationalisierbare Mitarbeiter</t>
  </si>
  <si>
    <t>Auszahlungen für die Fundamentierung der Maschine</t>
  </si>
  <si>
    <t>Anschaffungspreis der Maschine</t>
  </si>
  <si>
    <t>Jährliche Miete für die Gebäude des Bereichs</t>
  </si>
  <si>
    <t>Auszahlung je produziertem und verkauften Erzeugnis (Material, Löhne, ...)</t>
  </si>
  <si>
    <t>Einzahlung je verkauftem Erzeugnis</t>
  </si>
  <si>
    <t>Jährlich produzierte und abgesetzte Anzahl an Erzeugnissen</t>
  </si>
  <si>
    <t>Durchschnittlicher Lohn je Mitarbeiter im 3. Jahr</t>
  </si>
  <si>
    <t>Durchschnittlicher Lohn je Mitarbeiter im 2. Jahr</t>
  </si>
  <si>
    <t>Durchschnittlicher Lohn je Mitarbeiter im 1. Jahr</t>
  </si>
  <si>
    <t>Anzahl der Mitarbeiter im Bereich</t>
  </si>
  <si>
    <t>Investition</t>
  </si>
  <si>
    <t>Summe Kostenstellen</t>
  </si>
  <si>
    <t>Umlage EDV</t>
  </si>
  <si>
    <t>Zwischensumme</t>
  </si>
  <si>
    <t>Umlage Kantine</t>
  </si>
  <si>
    <t>Vertrieb</t>
  </si>
  <si>
    <t>Verwaltung</t>
  </si>
  <si>
    <t>Fertigung</t>
  </si>
  <si>
    <t>Material</t>
  </si>
  <si>
    <t>EDV</t>
  </si>
  <si>
    <t>Kantine</t>
  </si>
  <si>
    <t>Leistungsverrechnung</t>
  </si>
  <si>
    <t>Primäre Gemeinkosten</t>
  </si>
  <si>
    <t>Anzahl PCs</t>
  </si>
  <si>
    <t>Anzahl Mitarbeiter</t>
  </si>
  <si>
    <t>Kostenstellendaten</t>
  </si>
  <si>
    <t>Amortisationsdauer</t>
  </si>
  <si>
    <t>Nutzungsdauer n</t>
  </si>
  <si>
    <t>Anzahl Bestellungen</t>
  </si>
  <si>
    <t>Optimale Bestellmenge</t>
  </si>
  <si>
    <t>Kostensatz</t>
  </si>
  <si>
    <t>Erzeugniswert</t>
  </si>
  <si>
    <t>Jahresbedarf</t>
  </si>
  <si>
    <t>Bestellpunktbestand</t>
  </si>
  <si>
    <t>Variationskoeffizient</t>
  </si>
  <si>
    <t>Standardabweichung</t>
  </si>
  <si>
    <t>Sicherheitsfaktor</t>
  </si>
  <si>
    <t>Wiederbeschaffung</t>
  </si>
  <si>
    <t>Abflusstage</t>
  </si>
  <si>
    <t>Erfasste Monate</t>
  </si>
  <si>
    <t>Juni</t>
  </si>
  <si>
    <t>Mai</t>
  </si>
  <si>
    <t>April</t>
  </si>
  <si>
    <t>März</t>
  </si>
  <si>
    <t>Februar</t>
  </si>
  <si>
    <t>Januar</t>
  </si>
  <si>
    <t>Abfluss</t>
  </si>
  <si>
    <t>Monat</t>
  </si>
  <si>
    <t>Beschaffung</t>
  </si>
  <si>
    <t>Tabellenkalkulationen zum Klausurtraining</t>
  </si>
  <si>
    <t>Hinweise zur Verwendung</t>
  </si>
  <si>
    <t>Durch Variation der blauen Eingabewerte können neue Aufgaben generiert werden.</t>
  </si>
  <si>
    <t>Einführung in die Betriebswirtschaftslehre</t>
  </si>
  <si>
    <t>Preisbestimmung</t>
  </si>
  <si>
    <t>Maximax</t>
  </si>
  <si>
    <t>Maximin</t>
  </si>
  <si>
    <t>Hurwicz</t>
  </si>
  <si>
    <t>Laplace</t>
  </si>
  <si>
    <t>Erfahrungskurve</t>
  </si>
  <si>
    <t>(1) Kostenelastizität</t>
  </si>
  <si>
    <t>(2) Stückkosten</t>
  </si>
  <si>
    <t>ROI-Kennzahlensystem</t>
  </si>
  <si>
    <t>Kostenstellenrechnung</t>
  </si>
  <si>
    <t>Unternehmen</t>
  </si>
  <si>
    <t>Zuschlagskalkulation</t>
  </si>
  <si>
    <t>Erzeugnis 1</t>
  </si>
  <si>
    <t>Erzeugnis 2</t>
  </si>
  <si>
    <t>Materialeinzelkosten je Jahr</t>
  </si>
  <si>
    <t>Fertigungseinzelkosten je Jahr</t>
  </si>
  <si>
    <t>Materialgemeinkosten je Jahr</t>
  </si>
  <si>
    <t>Fertigungsgemeinkosten je Jahr</t>
  </si>
  <si>
    <t>Verwaltungsgemeinkosten je Jahr</t>
  </si>
  <si>
    <t>Vertriebsgemeinkosten je Jahr</t>
  </si>
  <si>
    <t>Gewinnaufschlag</t>
  </si>
  <si>
    <t>Durchschnittliches Kundenskonto</t>
  </si>
  <si>
    <t>Durchschnittlicher Kundenrabatt</t>
  </si>
  <si>
    <t>Umsatzsteuer</t>
  </si>
  <si>
    <t>Bruttoverkaufspreis</t>
  </si>
  <si>
    <t>(1) Bestellpunktbestand</t>
  </si>
  <si>
    <t>(2) Optimale Bestellmenge</t>
  </si>
  <si>
    <t>Rückflüsse</t>
  </si>
  <si>
    <t>Zusätzliche jährliche Auszahlungen durch den Einsatz der Maschine (Energie, …)</t>
  </si>
  <si>
    <t>Einzahlungen</t>
  </si>
  <si>
    <t>Auszahlungen</t>
  </si>
  <si>
    <t>Zahlungsreihe</t>
  </si>
  <si>
    <t>Produktionsbereich</t>
  </si>
  <si>
    <t>Investitionsdaten</t>
  </si>
  <si>
    <r>
      <t>Kalkulationszinsfuß 1 r</t>
    </r>
    <r>
      <rPr>
        <vertAlign val="subscript"/>
        <sz val="11"/>
        <color theme="1"/>
        <rFont val="Calibri"/>
        <family val="2"/>
        <scheme val="minor"/>
      </rPr>
      <t>1</t>
    </r>
  </si>
  <si>
    <r>
      <t>1. Jahr: Rückfluss R</t>
    </r>
    <r>
      <rPr>
        <vertAlign val="sub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</t>
    </r>
  </si>
  <si>
    <r>
      <t>2. Jahr: Rückfluss R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</t>
    </r>
  </si>
  <si>
    <r>
      <t>3. Jahr: Rückfluss R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</t>
    </r>
  </si>
  <si>
    <r>
      <t>4. Jahr: Rückfluss R</t>
    </r>
    <r>
      <rPr>
        <vertAlign val="subscript"/>
        <sz val="11"/>
        <color theme="1"/>
        <rFont val="Calibri"/>
        <family val="2"/>
        <scheme val="minor"/>
      </rPr>
      <t>4</t>
    </r>
    <r>
      <rPr>
        <sz val="11"/>
        <color theme="1"/>
        <rFont val="Calibri"/>
        <family val="2"/>
        <scheme val="minor"/>
      </rPr>
      <t xml:space="preserve"> </t>
    </r>
  </si>
  <si>
    <r>
      <t>4. Jahr: Liquidationserlös L</t>
    </r>
    <r>
      <rPr>
        <vertAlign val="subscript"/>
        <sz val="11"/>
        <color theme="1"/>
        <rFont val="Calibri"/>
        <family val="2"/>
        <scheme val="minor"/>
      </rPr>
      <t>4</t>
    </r>
  </si>
  <si>
    <r>
      <t>Kalkulationszinsfuß 2 r</t>
    </r>
    <r>
      <rPr>
        <vertAlign val="subscript"/>
        <sz val="11"/>
        <color theme="1"/>
        <rFont val="Calibri"/>
        <family val="2"/>
        <scheme val="minor"/>
      </rPr>
      <t>2</t>
    </r>
  </si>
  <si>
    <r>
      <t>Kapitalwert 2 C</t>
    </r>
    <r>
      <rPr>
        <vertAlign val="subscript"/>
        <sz val="11"/>
        <color theme="1"/>
        <rFont val="Calibri"/>
        <family val="2"/>
        <scheme val="minor"/>
      </rPr>
      <t>02</t>
    </r>
  </si>
  <si>
    <r>
      <t>Kalkulationszinsfuß 3 r</t>
    </r>
    <r>
      <rPr>
        <vertAlign val="subscript"/>
        <sz val="11"/>
        <color theme="1"/>
        <rFont val="Calibri"/>
        <family val="2"/>
        <scheme val="minor"/>
      </rPr>
      <t>3</t>
    </r>
  </si>
  <si>
    <r>
      <t>Kapitalwert 3 C</t>
    </r>
    <r>
      <rPr>
        <vertAlign val="subscript"/>
        <sz val="11"/>
        <color theme="1"/>
        <rFont val="Calibri"/>
        <family val="2"/>
        <scheme val="minor"/>
      </rPr>
      <t>03</t>
    </r>
  </si>
  <si>
    <t>Investitionsrechnungen</t>
  </si>
  <si>
    <r>
      <t>Kapitalwert 1 C</t>
    </r>
    <r>
      <rPr>
        <b/>
        <vertAlign val="subscript"/>
        <sz val="11"/>
        <color theme="3"/>
        <rFont val="Calibri"/>
        <family val="2"/>
        <scheme val="minor"/>
      </rPr>
      <t>01</t>
    </r>
  </si>
  <si>
    <r>
      <t>Interner Zinsfuß (Basis C</t>
    </r>
    <r>
      <rPr>
        <b/>
        <vertAlign val="subscript"/>
        <sz val="11"/>
        <color theme="3"/>
        <rFont val="Calibri"/>
        <family val="2"/>
        <scheme val="minor"/>
      </rPr>
      <t>02</t>
    </r>
    <r>
      <rPr>
        <b/>
        <sz val="11"/>
        <color theme="3"/>
        <rFont val="Calibri"/>
        <family val="2"/>
        <scheme val="minor"/>
      </rPr>
      <t xml:space="preserve"> und C</t>
    </r>
    <r>
      <rPr>
        <b/>
        <vertAlign val="subscript"/>
        <sz val="11"/>
        <color theme="3"/>
        <rFont val="Calibri"/>
        <family val="2"/>
        <scheme val="minor"/>
      </rPr>
      <t>03</t>
    </r>
    <r>
      <rPr>
        <b/>
        <sz val="11"/>
        <color theme="3"/>
        <rFont val="Calibri"/>
        <family val="2"/>
        <scheme val="minor"/>
      </rPr>
      <t>)</t>
    </r>
  </si>
  <si>
    <r>
      <t>Annuität (Basis C</t>
    </r>
    <r>
      <rPr>
        <b/>
        <vertAlign val="subscript"/>
        <sz val="11"/>
        <color theme="3"/>
        <rFont val="Calibri"/>
        <family val="2"/>
        <scheme val="minor"/>
      </rPr>
      <t>02</t>
    </r>
    <r>
      <rPr>
        <b/>
        <sz val="11"/>
        <color theme="3"/>
        <rFont val="Calibri"/>
        <family val="2"/>
        <scheme val="minor"/>
      </rPr>
      <t>)</t>
    </r>
  </si>
  <si>
    <r>
      <t>Investitionsauszahlung I</t>
    </r>
    <r>
      <rPr>
        <vertAlign val="subscript"/>
        <sz val="11"/>
        <color theme="1"/>
        <rFont val="Calibri"/>
        <family val="2"/>
        <scheme val="minor"/>
      </rPr>
      <t>0</t>
    </r>
  </si>
  <si>
    <t>Herstellkosten</t>
  </si>
  <si>
    <t>Finanzierung</t>
  </si>
  <si>
    <t>davon: Liquide Mittel</t>
  </si>
  <si>
    <t>davon: Forderungen aus Lieferungen und Leistungen</t>
  </si>
  <si>
    <t>Eigenkapital</t>
  </si>
  <si>
    <t>Fremdkapital</t>
  </si>
  <si>
    <t>davon: Langfristiges Fremdkapital</t>
  </si>
  <si>
    <t>davon: Kurzfristiges Fremdkapital</t>
  </si>
  <si>
    <t>Liquidität 1. Grades [%]</t>
  </si>
  <si>
    <t>Liquidität 2. Grades [%]</t>
  </si>
  <si>
    <t>Liquidität 3. Grades [%]</t>
  </si>
  <si>
    <t>&gt; 300 %</t>
  </si>
  <si>
    <t>Goldene Bankregel</t>
  </si>
  <si>
    <t>&gt; 1</t>
  </si>
  <si>
    <t>Verschuldungsgrad [%]</t>
  </si>
  <si>
    <t>&lt; 100 %</t>
  </si>
  <si>
    <t>Eigenkapitalquote [%]</t>
  </si>
  <si>
    <t>&gt; 50 %</t>
  </si>
  <si>
    <t>Kennzahlen</t>
  </si>
  <si>
    <t>Vergleichswerte</t>
  </si>
  <si>
    <t>Materialkosten</t>
  </si>
  <si>
    <t>Fertigungskosten</t>
  </si>
  <si>
    <t>Version 1.0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</si>
</sst>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6" formatCode="#,##0\ &quot;€&quot;;[Red]\-#,##0\ &quot;€&quot;"/>
    <numFmt numFmtId="164" formatCode="#,##0.00\ &quot;€&quot;"/>
    <numFmt numFmtId="165" formatCode="#,##0\ &quot;Stück&quot;"/>
    <numFmt numFmtId="166" formatCode="#,##0.00\ &quot;€/Stück&quot;"/>
    <numFmt numFmtId="167" formatCode="0.00000%"/>
    <numFmt numFmtId="168" formatCode="0.00000"/>
    <numFmt numFmtId="169" formatCode="#,##0\ &quot;€&quot;"/>
    <numFmt numFmtId="170" formatCode="#,##0\ &quot;PCs&quot;"/>
    <numFmt numFmtId="171" formatCode="#,##0\ &quot;MA&quot;"/>
    <numFmt numFmtId="172" formatCode="#,##0\ &quot;Jahre&quot;"/>
    <numFmt numFmtId="173" formatCode="#,##0\ &quot;Mal&quot;"/>
    <numFmt numFmtId="174" formatCode="0.0000"/>
    <numFmt numFmtId="175" formatCode="#,##0.0000\ &quot;Stück&quot;"/>
    <numFmt numFmtId="176" formatCode="#,##0\ &quot;Tage&quot;"/>
    <numFmt numFmtId="177" formatCode="#,##0\ &quot;Monate&quot;"/>
    <numFmt numFmtId="178" formatCode="0.0"/>
    <numFmt numFmtId="179" formatCode="#,##0\ &quot;Mitarbeiter&quot;"/>
    <numFmt numFmtId="180" formatCode="#,##0\ &quot;€/Mitarbeiter&quot;"/>
    <numFmt numFmtId="181" formatCode="#,##0.0\ &quot;Jahre&quot;"/>
    <numFmt numFmtId="182" formatCode="0.0000%"/>
    <numFmt numFmtId="183" formatCode="#,##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36"/>
      <color rgb="FF0081C7"/>
      <name val="Calibri"/>
      <family val="2"/>
      <scheme val="minor"/>
    </font>
    <font>
      <sz val="11"/>
      <color rgb="FF0081C7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3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808080"/>
      <name val="Calibri"/>
      <family val="2"/>
      <scheme val="minor"/>
    </font>
    <font>
      <b/>
      <sz val="11"/>
      <color theme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Font="1"/>
    <xf numFmtId="165" fontId="0" fillId="0" borderId="0" xfId="0" applyNumberFormat="1" applyFont="1"/>
    <xf numFmtId="0" fontId="0" fillId="0" borderId="0" xfId="0" applyFont="1" applyAlignment="1">
      <alignment horizontal="right"/>
    </xf>
    <xf numFmtId="167" fontId="0" fillId="0" borderId="0" xfId="0" applyNumberFormat="1" applyFont="1"/>
    <xf numFmtId="0" fontId="2" fillId="0" borderId="0" xfId="0" applyFont="1" applyAlignment="1">
      <alignment horizontal="right"/>
    </xf>
    <xf numFmtId="168" fontId="3" fillId="0" borderId="0" xfId="0" applyNumberFormat="1" applyFont="1"/>
    <xf numFmtId="167" fontId="3" fillId="0" borderId="0" xfId="0" applyNumberFormat="1" applyFont="1"/>
    <xf numFmtId="0" fontId="2" fillId="0" borderId="0" xfId="0" applyFont="1" applyAlignment="1">
      <alignment horizontal="right" wrapText="1"/>
    </xf>
    <xf numFmtId="166" fontId="3" fillId="0" borderId="0" xfId="0" applyNumberFormat="1" applyFont="1"/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9" fontId="0" fillId="0" borderId="0" xfId="0" applyNumberFormat="1" applyFont="1" applyAlignment="1">
      <alignment vertical="center"/>
    </xf>
    <xf numFmtId="0" fontId="1" fillId="0" borderId="0" xfId="0" applyFont="1" applyAlignment="1">
      <alignment horizontal="left"/>
    </xf>
    <xf numFmtId="165" fontId="3" fillId="0" borderId="0" xfId="0" applyNumberFormat="1" applyFont="1"/>
    <xf numFmtId="0" fontId="2" fillId="0" borderId="0" xfId="0" applyFont="1"/>
    <xf numFmtId="6" fontId="3" fillId="0" borderId="0" xfId="0" applyNumberFormat="1" applyFont="1"/>
    <xf numFmtId="10" fontId="3" fillId="0" borderId="0" xfId="0" applyNumberFormat="1" applyFont="1"/>
    <xf numFmtId="0" fontId="0" fillId="0" borderId="0" xfId="0" applyAlignment="1">
      <alignment horizontal="right"/>
    </xf>
    <xf numFmtId="6" fontId="0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/>
    </xf>
    <xf numFmtId="170" fontId="0" fillId="0" borderId="0" xfId="0" applyNumberFormat="1" applyAlignment="1">
      <alignment horizontal="right"/>
    </xf>
    <xf numFmtId="171" fontId="0" fillId="0" borderId="0" xfId="0" applyNumberFormat="1" applyAlignment="1">
      <alignment horizontal="right"/>
    </xf>
    <xf numFmtId="173" fontId="3" fillId="0" borderId="0" xfId="0" applyNumberFormat="1" applyFont="1"/>
    <xf numFmtId="174" fontId="3" fillId="0" borderId="0" xfId="0" applyNumberFormat="1" applyFont="1"/>
    <xf numFmtId="175" fontId="3" fillId="0" borderId="0" xfId="0" applyNumberFormat="1" applyFont="1"/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6" fillId="0" borderId="0" xfId="0" applyNumberFormat="1" applyFont="1" applyAlignment="1">
      <alignment horizontal="left"/>
    </xf>
    <xf numFmtId="165" fontId="6" fillId="0" borderId="0" xfId="0" applyNumberFormat="1" applyFont="1"/>
    <xf numFmtId="0" fontId="6" fillId="0" borderId="0" xfId="0" applyFont="1" applyAlignment="1">
      <alignment horizontal="right" vertical="center"/>
    </xf>
    <xf numFmtId="169" fontId="6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8" fontId="6" fillId="0" borderId="0" xfId="0" applyNumberFormat="1" applyFont="1" applyAlignment="1">
      <alignment horizontal="right" vertical="center"/>
    </xf>
    <xf numFmtId="169" fontId="3" fillId="0" borderId="0" xfId="0" applyNumberFormat="1" applyFont="1" applyAlignment="1">
      <alignment vertical="center"/>
    </xf>
    <xf numFmtId="169" fontId="3" fillId="0" borderId="0" xfId="0" applyNumberFormat="1" applyFont="1"/>
    <xf numFmtId="0" fontId="1" fillId="0" borderId="0" xfId="0" applyFont="1" applyAlignment="1">
      <alignment horizontal="right" vertical="center"/>
    </xf>
    <xf numFmtId="166" fontId="6" fillId="0" borderId="0" xfId="0" applyNumberFormat="1" applyFont="1"/>
    <xf numFmtId="168" fontId="6" fillId="0" borderId="0" xfId="0" applyNumberFormat="1" applyFont="1"/>
    <xf numFmtId="165" fontId="4" fillId="0" borderId="0" xfId="0" applyNumberFormat="1" applyFont="1" applyAlignment="1">
      <alignment horizontal="right"/>
    </xf>
    <xf numFmtId="6" fontId="6" fillId="0" borderId="0" xfId="0" applyNumberFormat="1" applyFont="1"/>
    <xf numFmtId="171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169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5" fontId="6" fillId="0" borderId="0" xfId="0" applyNumberFormat="1" applyFont="1" applyAlignment="1">
      <alignment horizontal="right"/>
    </xf>
    <xf numFmtId="6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/>
    <xf numFmtId="165" fontId="2" fillId="0" borderId="0" xfId="0" applyNumberFormat="1" applyFont="1"/>
    <xf numFmtId="9" fontId="6" fillId="0" borderId="0" xfId="0" applyNumberFormat="1" applyFont="1"/>
    <xf numFmtId="177" fontId="6" fillId="0" borderId="0" xfId="0" applyNumberFormat="1" applyFont="1"/>
    <xf numFmtId="176" fontId="6" fillId="0" borderId="0" xfId="0" applyNumberFormat="1" applyFont="1"/>
    <xf numFmtId="0" fontId="6" fillId="0" borderId="0" xfId="0" applyFont="1"/>
    <xf numFmtId="164" fontId="6" fillId="0" borderId="0" xfId="0" applyNumberFormat="1" applyFont="1"/>
    <xf numFmtId="10" fontId="6" fillId="0" borderId="0" xfId="0" applyNumberFormat="1" applyFont="1"/>
    <xf numFmtId="179" fontId="6" fillId="0" borderId="0" xfId="0" applyNumberFormat="1" applyFont="1" applyAlignment="1">
      <alignment horizontal="right"/>
    </xf>
    <xf numFmtId="180" fontId="6" fillId="0" borderId="0" xfId="0" applyNumberFormat="1" applyFont="1" applyAlignment="1">
      <alignment horizontal="right"/>
    </xf>
    <xf numFmtId="179" fontId="0" fillId="0" borderId="0" xfId="0" applyNumberFormat="1" applyFont="1" applyAlignment="1">
      <alignment horizontal="right"/>
    </xf>
    <xf numFmtId="6" fontId="0" fillId="0" borderId="0" xfId="0" applyNumberFormat="1" applyFont="1"/>
    <xf numFmtId="169" fontId="6" fillId="0" borderId="0" xfId="0" applyNumberFormat="1" applyFont="1"/>
    <xf numFmtId="172" fontId="6" fillId="0" borderId="0" xfId="0" applyNumberFormat="1" applyFont="1"/>
    <xf numFmtId="169" fontId="0" fillId="0" borderId="0" xfId="0" applyNumberFormat="1" applyFont="1"/>
    <xf numFmtId="181" fontId="3" fillId="0" borderId="0" xfId="0" applyNumberFormat="1" applyFont="1"/>
    <xf numFmtId="182" fontId="3" fillId="0" borderId="0" xfId="0" applyNumberFormat="1" applyFont="1"/>
    <xf numFmtId="165" fontId="0" fillId="0" borderId="0" xfId="0" applyNumberFormat="1"/>
    <xf numFmtId="166" fontId="3" fillId="0" borderId="0" xfId="0" applyNumberFormat="1" applyFont="1" applyAlignment="1">
      <alignment horizontal="right"/>
    </xf>
    <xf numFmtId="6" fontId="0" fillId="0" borderId="0" xfId="0" applyNumberFormat="1" applyAlignment="1">
      <alignment horizontal="right"/>
    </xf>
    <xf numFmtId="6" fontId="3" fillId="0" borderId="0" xfId="0" applyNumberFormat="1" applyFont="1" applyAlignment="1">
      <alignment horizontal="right"/>
    </xf>
    <xf numFmtId="0" fontId="9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10" fontId="3" fillId="0" borderId="0" xfId="0" applyNumberFormat="1" applyFont="1" applyBorder="1" applyAlignment="1">
      <alignment horizontal="right" vertical="center" wrapText="1"/>
    </xf>
    <xf numFmtId="183" fontId="3" fillId="0" borderId="0" xfId="0" applyNumberFormat="1" applyFont="1" applyBorder="1" applyAlignment="1">
      <alignment horizontal="right" vertical="center" wrapText="1"/>
    </xf>
    <xf numFmtId="165" fontId="12" fillId="0" borderId="0" xfId="0" applyNumberFormat="1" applyFont="1"/>
    <xf numFmtId="166" fontId="0" fillId="0" borderId="0" xfId="0" applyNumberFormat="1" applyFont="1"/>
    <xf numFmtId="166" fontId="12" fillId="0" borderId="0" xfId="0" applyNumberFormat="1" applyFont="1"/>
    <xf numFmtId="166" fontId="1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81C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Larissa">
  <a:themeElements>
    <a:clrScheme name="Klausur">
      <a:dk1>
        <a:srgbClr val="000000"/>
      </a:dk1>
      <a:lt1>
        <a:srgbClr val="FFFFFF"/>
      </a:lt1>
      <a:dk2>
        <a:srgbClr val="808080"/>
      </a:dk2>
      <a:lt2>
        <a:srgbClr val="FFFFFF"/>
      </a:lt2>
      <a:accent1>
        <a:srgbClr val="FFFFFF"/>
      </a:accent1>
      <a:accent2>
        <a:srgbClr val="FFFFFF"/>
      </a:accent2>
      <a:accent3>
        <a:srgbClr val="FFFFFF"/>
      </a:accent3>
      <a:accent4>
        <a:srgbClr val="FFFFFF"/>
      </a:accent4>
      <a:accent5>
        <a:srgbClr val="FFFFFF"/>
      </a:accent5>
      <a:accent6>
        <a:srgbClr val="D40032"/>
      </a:accent6>
      <a:hlink>
        <a:srgbClr val="82D3FF"/>
      </a:hlink>
      <a:folHlink>
        <a:srgbClr val="82D3FF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39"/>
  <sheetViews>
    <sheetView tabSelected="1" zoomScaleNormal="100" workbookViewId="0">
      <selection activeCell="B2" sqref="B2"/>
    </sheetView>
  </sheetViews>
  <sheetFormatPr baseColWidth="10" defaultRowHeight="14.4" x14ac:dyDescent="0.3"/>
  <cols>
    <col min="1" max="1" width="2.6640625" style="3" customWidth="1"/>
    <col min="2" max="2" width="71.33203125" style="3" bestFit="1" customWidth="1"/>
    <col min="3" max="3" width="2.6640625" style="3" customWidth="1"/>
    <col min="4" max="4" width="13.5546875" style="3" customWidth="1"/>
    <col min="5" max="5" width="15.6640625" style="3" customWidth="1"/>
    <col min="6" max="254" width="11.5546875" style="3"/>
    <col min="255" max="255" width="2.88671875" style="3" customWidth="1"/>
    <col min="256" max="256" width="34.44140625" style="3" bestFit="1" customWidth="1"/>
    <col min="257" max="257" width="30.44140625" style="3" bestFit="1" customWidth="1"/>
    <col min="258" max="259" width="21.44140625" style="3" customWidth="1"/>
    <col min="260" max="260" width="13.5546875" style="3" customWidth="1"/>
    <col min="261" max="261" width="15.6640625" style="3" customWidth="1"/>
    <col min="262" max="510" width="11.5546875" style="3"/>
    <col min="511" max="511" width="2.88671875" style="3" customWidth="1"/>
    <col min="512" max="512" width="34.44140625" style="3" bestFit="1" customWidth="1"/>
    <col min="513" max="513" width="30.44140625" style="3" bestFit="1" customWidth="1"/>
    <col min="514" max="515" width="21.44140625" style="3" customWidth="1"/>
    <col min="516" max="516" width="13.5546875" style="3" customWidth="1"/>
    <col min="517" max="517" width="15.6640625" style="3" customWidth="1"/>
    <col min="518" max="766" width="11.5546875" style="3"/>
    <col min="767" max="767" width="2.88671875" style="3" customWidth="1"/>
    <col min="768" max="768" width="34.44140625" style="3" bestFit="1" customWidth="1"/>
    <col min="769" max="769" width="30.44140625" style="3" bestFit="1" customWidth="1"/>
    <col min="770" max="771" width="21.44140625" style="3" customWidth="1"/>
    <col min="772" max="772" width="13.5546875" style="3" customWidth="1"/>
    <col min="773" max="773" width="15.6640625" style="3" customWidth="1"/>
    <col min="774" max="1022" width="11.5546875" style="3"/>
    <col min="1023" max="1023" width="2.88671875" style="3" customWidth="1"/>
    <col min="1024" max="1024" width="34.44140625" style="3" bestFit="1" customWidth="1"/>
    <col min="1025" max="1025" width="30.44140625" style="3" bestFit="1" customWidth="1"/>
    <col min="1026" max="1027" width="21.44140625" style="3" customWidth="1"/>
    <col min="1028" max="1028" width="13.5546875" style="3" customWidth="1"/>
    <col min="1029" max="1029" width="15.6640625" style="3" customWidth="1"/>
    <col min="1030" max="1278" width="11.5546875" style="3"/>
    <col min="1279" max="1279" width="2.88671875" style="3" customWidth="1"/>
    <col min="1280" max="1280" width="34.44140625" style="3" bestFit="1" customWidth="1"/>
    <col min="1281" max="1281" width="30.44140625" style="3" bestFit="1" customWidth="1"/>
    <col min="1282" max="1283" width="21.44140625" style="3" customWidth="1"/>
    <col min="1284" max="1284" width="13.5546875" style="3" customWidth="1"/>
    <col min="1285" max="1285" width="15.6640625" style="3" customWidth="1"/>
    <col min="1286" max="1534" width="11.5546875" style="3"/>
    <col min="1535" max="1535" width="2.88671875" style="3" customWidth="1"/>
    <col min="1536" max="1536" width="34.44140625" style="3" bestFit="1" customWidth="1"/>
    <col min="1537" max="1537" width="30.44140625" style="3" bestFit="1" customWidth="1"/>
    <col min="1538" max="1539" width="21.44140625" style="3" customWidth="1"/>
    <col min="1540" max="1540" width="13.5546875" style="3" customWidth="1"/>
    <col min="1541" max="1541" width="15.6640625" style="3" customWidth="1"/>
    <col min="1542" max="1790" width="11.5546875" style="3"/>
    <col min="1791" max="1791" width="2.88671875" style="3" customWidth="1"/>
    <col min="1792" max="1792" width="34.44140625" style="3" bestFit="1" customWidth="1"/>
    <col min="1793" max="1793" width="30.44140625" style="3" bestFit="1" customWidth="1"/>
    <col min="1794" max="1795" width="21.44140625" style="3" customWidth="1"/>
    <col min="1796" max="1796" width="13.5546875" style="3" customWidth="1"/>
    <col min="1797" max="1797" width="15.6640625" style="3" customWidth="1"/>
    <col min="1798" max="2046" width="11.5546875" style="3"/>
    <col min="2047" max="2047" width="2.88671875" style="3" customWidth="1"/>
    <col min="2048" max="2048" width="34.44140625" style="3" bestFit="1" customWidth="1"/>
    <col min="2049" max="2049" width="30.44140625" style="3" bestFit="1" customWidth="1"/>
    <col min="2050" max="2051" width="21.44140625" style="3" customWidth="1"/>
    <col min="2052" max="2052" width="13.5546875" style="3" customWidth="1"/>
    <col min="2053" max="2053" width="15.6640625" style="3" customWidth="1"/>
    <col min="2054" max="2302" width="11.5546875" style="3"/>
    <col min="2303" max="2303" width="2.88671875" style="3" customWidth="1"/>
    <col min="2304" max="2304" width="34.44140625" style="3" bestFit="1" customWidth="1"/>
    <col min="2305" max="2305" width="30.44140625" style="3" bestFit="1" customWidth="1"/>
    <col min="2306" max="2307" width="21.44140625" style="3" customWidth="1"/>
    <col min="2308" max="2308" width="13.5546875" style="3" customWidth="1"/>
    <col min="2309" max="2309" width="15.6640625" style="3" customWidth="1"/>
    <col min="2310" max="2558" width="11.5546875" style="3"/>
    <col min="2559" max="2559" width="2.88671875" style="3" customWidth="1"/>
    <col min="2560" max="2560" width="34.44140625" style="3" bestFit="1" customWidth="1"/>
    <col min="2561" max="2561" width="30.44140625" style="3" bestFit="1" customWidth="1"/>
    <col min="2562" max="2563" width="21.44140625" style="3" customWidth="1"/>
    <col min="2564" max="2564" width="13.5546875" style="3" customWidth="1"/>
    <col min="2565" max="2565" width="15.6640625" style="3" customWidth="1"/>
    <col min="2566" max="2814" width="11.5546875" style="3"/>
    <col min="2815" max="2815" width="2.88671875" style="3" customWidth="1"/>
    <col min="2816" max="2816" width="34.44140625" style="3" bestFit="1" customWidth="1"/>
    <col min="2817" max="2817" width="30.44140625" style="3" bestFit="1" customWidth="1"/>
    <col min="2818" max="2819" width="21.44140625" style="3" customWidth="1"/>
    <col min="2820" max="2820" width="13.5546875" style="3" customWidth="1"/>
    <col min="2821" max="2821" width="15.6640625" style="3" customWidth="1"/>
    <col min="2822" max="3070" width="11.5546875" style="3"/>
    <col min="3071" max="3071" width="2.88671875" style="3" customWidth="1"/>
    <col min="3072" max="3072" width="34.44140625" style="3" bestFit="1" customWidth="1"/>
    <col min="3073" max="3073" width="30.44140625" style="3" bestFit="1" customWidth="1"/>
    <col min="3074" max="3075" width="21.44140625" style="3" customWidth="1"/>
    <col min="3076" max="3076" width="13.5546875" style="3" customWidth="1"/>
    <col min="3077" max="3077" width="15.6640625" style="3" customWidth="1"/>
    <col min="3078" max="3326" width="11.5546875" style="3"/>
    <col min="3327" max="3327" width="2.88671875" style="3" customWidth="1"/>
    <col min="3328" max="3328" width="34.44140625" style="3" bestFit="1" customWidth="1"/>
    <col min="3329" max="3329" width="30.44140625" style="3" bestFit="1" customWidth="1"/>
    <col min="3330" max="3331" width="21.44140625" style="3" customWidth="1"/>
    <col min="3332" max="3332" width="13.5546875" style="3" customWidth="1"/>
    <col min="3333" max="3333" width="15.6640625" style="3" customWidth="1"/>
    <col min="3334" max="3582" width="11.5546875" style="3"/>
    <col min="3583" max="3583" width="2.88671875" style="3" customWidth="1"/>
    <col min="3584" max="3584" width="34.44140625" style="3" bestFit="1" customWidth="1"/>
    <col min="3585" max="3585" width="30.44140625" style="3" bestFit="1" customWidth="1"/>
    <col min="3586" max="3587" width="21.44140625" style="3" customWidth="1"/>
    <col min="3588" max="3588" width="13.5546875" style="3" customWidth="1"/>
    <col min="3589" max="3589" width="15.6640625" style="3" customWidth="1"/>
    <col min="3590" max="3838" width="11.5546875" style="3"/>
    <col min="3839" max="3839" width="2.88671875" style="3" customWidth="1"/>
    <col min="3840" max="3840" width="34.44140625" style="3" bestFit="1" customWidth="1"/>
    <col min="3841" max="3841" width="30.44140625" style="3" bestFit="1" customWidth="1"/>
    <col min="3842" max="3843" width="21.44140625" style="3" customWidth="1"/>
    <col min="3844" max="3844" width="13.5546875" style="3" customWidth="1"/>
    <col min="3845" max="3845" width="15.6640625" style="3" customWidth="1"/>
    <col min="3846" max="4094" width="11.5546875" style="3"/>
    <col min="4095" max="4095" width="2.88671875" style="3" customWidth="1"/>
    <col min="4096" max="4096" width="34.44140625" style="3" bestFit="1" customWidth="1"/>
    <col min="4097" max="4097" width="30.44140625" style="3" bestFit="1" customWidth="1"/>
    <col min="4098" max="4099" width="21.44140625" style="3" customWidth="1"/>
    <col min="4100" max="4100" width="13.5546875" style="3" customWidth="1"/>
    <col min="4101" max="4101" width="15.6640625" style="3" customWidth="1"/>
    <col min="4102" max="4350" width="11.5546875" style="3"/>
    <col min="4351" max="4351" width="2.88671875" style="3" customWidth="1"/>
    <col min="4352" max="4352" width="34.44140625" style="3" bestFit="1" customWidth="1"/>
    <col min="4353" max="4353" width="30.44140625" style="3" bestFit="1" customWidth="1"/>
    <col min="4354" max="4355" width="21.44140625" style="3" customWidth="1"/>
    <col min="4356" max="4356" width="13.5546875" style="3" customWidth="1"/>
    <col min="4357" max="4357" width="15.6640625" style="3" customWidth="1"/>
    <col min="4358" max="4606" width="11.5546875" style="3"/>
    <col min="4607" max="4607" width="2.88671875" style="3" customWidth="1"/>
    <col min="4608" max="4608" width="34.44140625" style="3" bestFit="1" customWidth="1"/>
    <col min="4609" max="4609" width="30.44140625" style="3" bestFit="1" customWidth="1"/>
    <col min="4610" max="4611" width="21.44140625" style="3" customWidth="1"/>
    <col min="4612" max="4612" width="13.5546875" style="3" customWidth="1"/>
    <col min="4613" max="4613" width="15.6640625" style="3" customWidth="1"/>
    <col min="4614" max="4862" width="11.5546875" style="3"/>
    <col min="4863" max="4863" width="2.88671875" style="3" customWidth="1"/>
    <col min="4864" max="4864" width="34.44140625" style="3" bestFit="1" customWidth="1"/>
    <col min="4865" max="4865" width="30.44140625" style="3" bestFit="1" customWidth="1"/>
    <col min="4866" max="4867" width="21.44140625" style="3" customWidth="1"/>
    <col min="4868" max="4868" width="13.5546875" style="3" customWidth="1"/>
    <col min="4869" max="4869" width="15.6640625" style="3" customWidth="1"/>
    <col min="4870" max="5118" width="11.5546875" style="3"/>
    <col min="5119" max="5119" width="2.88671875" style="3" customWidth="1"/>
    <col min="5120" max="5120" width="34.44140625" style="3" bestFit="1" customWidth="1"/>
    <col min="5121" max="5121" width="30.44140625" style="3" bestFit="1" customWidth="1"/>
    <col min="5122" max="5123" width="21.44140625" style="3" customWidth="1"/>
    <col min="5124" max="5124" width="13.5546875" style="3" customWidth="1"/>
    <col min="5125" max="5125" width="15.6640625" style="3" customWidth="1"/>
    <col min="5126" max="5374" width="11.5546875" style="3"/>
    <col min="5375" max="5375" width="2.88671875" style="3" customWidth="1"/>
    <col min="5376" max="5376" width="34.44140625" style="3" bestFit="1" customWidth="1"/>
    <col min="5377" max="5377" width="30.44140625" style="3" bestFit="1" customWidth="1"/>
    <col min="5378" max="5379" width="21.44140625" style="3" customWidth="1"/>
    <col min="5380" max="5380" width="13.5546875" style="3" customWidth="1"/>
    <col min="5381" max="5381" width="15.6640625" style="3" customWidth="1"/>
    <col min="5382" max="5630" width="11.5546875" style="3"/>
    <col min="5631" max="5631" width="2.88671875" style="3" customWidth="1"/>
    <col min="5632" max="5632" width="34.44140625" style="3" bestFit="1" customWidth="1"/>
    <col min="5633" max="5633" width="30.44140625" style="3" bestFit="1" customWidth="1"/>
    <col min="5634" max="5635" width="21.44140625" style="3" customWidth="1"/>
    <col min="5636" max="5636" width="13.5546875" style="3" customWidth="1"/>
    <col min="5637" max="5637" width="15.6640625" style="3" customWidth="1"/>
    <col min="5638" max="5886" width="11.5546875" style="3"/>
    <col min="5887" max="5887" width="2.88671875" style="3" customWidth="1"/>
    <col min="5888" max="5888" width="34.44140625" style="3" bestFit="1" customWidth="1"/>
    <col min="5889" max="5889" width="30.44140625" style="3" bestFit="1" customWidth="1"/>
    <col min="5890" max="5891" width="21.44140625" style="3" customWidth="1"/>
    <col min="5892" max="5892" width="13.5546875" style="3" customWidth="1"/>
    <col min="5893" max="5893" width="15.6640625" style="3" customWidth="1"/>
    <col min="5894" max="6142" width="11.5546875" style="3"/>
    <col min="6143" max="6143" width="2.88671875" style="3" customWidth="1"/>
    <col min="6144" max="6144" width="34.44140625" style="3" bestFit="1" customWidth="1"/>
    <col min="6145" max="6145" width="30.44140625" style="3" bestFit="1" customWidth="1"/>
    <col min="6146" max="6147" width="21.44140625" style="3" customWidth="1"/>
    <col min="6148" max="6148" width="13.5546875" style="3" customWidth="1"/>
    <col min="6149" max="6149" width="15.6640625" style="3" customWidth="1"/>
    <col min="6150" max="6398" width="11.5546875" style="3"/>
    <col min="6399" max="6399" width="2.88671875" style="3" customWidth="1"/>
    <col min="6400" max="6400" width="34.44140625" style="3" bestFit="1" customWidth="1"/>
    <col min="6401" max="6401" width="30.44140625" style="3" bestFit="1" customWidth="1"/>
    <col min="6402" max="6403" width="21.44140625" style="3" customWidth="1"/>
    <col min="6404" max="6404" width="13.5546875" style="3" customWidth="1"/>
    <col min="6405" max="6405" width="15.6640625" style="3" customWidth="1"/>
    <col min="6406" max="6654" width="11.5546875" style="3"/>
    <col min="6655" max="6655" width="2.88671875" style="3" customWidth="1"/>
    <col min="6656" max="6656" width="34.44140625" style="3" bestFit="1" customWidth="1"/>
    <col min="6657" max="6657" width="30.44140625" style="3" bestFit="1" customWidth="1"/>
    <col min="6658" max="6659" width="21.44140625" style="3" customWidth="1"/>
    <col min="6660" max="6660" width="13.5546875" style="3" customWidth="1"/>
    <col min="6661" max="6661" width="15.6640625" style="3" customWidth="1"/>
    <col min="6662" max="6910" width="11.5546875" style="3"/>
    <col min="6911" max="6911" width="2.88671875" style="3" customWidth="1"/>
    <col min="6912" max="6912" width="34.44140625" style="3" bestFit="1" customWidth="1"/>
    <col min="6913" max="6913" width="30.44140625" style="3" bestFit="1" customWidth="1"/>
    <col min="6914" max="6915" width="21.44140625" style="3" customWidth="1"/>
    <col min="6916" max="6916" width="13.5546875" style="3" customWidth="1"/>
    <col min="6917" max="6917" width="15.6640625" style="3" customWidth="1"/>
    <col min="6918" max="7166" width="11.5546875" style="3"/>
    <col min="7167" max="7167" width="2.88671875" style="3" customWidth="1"/>
    <col min="7168" max="7168" width="34.44140625" style="3" bestFit="1" customWidth="1"/>
    <col min="7169" max="7169" width="30.44140625" style="3" bestFit="1" customWidth="1"/>
    <col min="7170" max="7171" width="21.44140625" style="3" customWidth="1"/>
    <col min="7172" max="7172" width="13.5546875" style="3" customWidth="1"/>
    <col min="7173" max="7173" width="15.6640625" style="3" customWidth="1"/>
    <col min="7174" max="7422" width="11.5546875" style="3"/>
    <col min="7423" max="7423" width="2.88671875" style="3" customWidth="1"/>
    <col min="7424" max="7424" width="34.44140625" style="3" bestFit="1" customWidth="1"/>
    <col min="7425" max="7425" width="30.44140625" style="3" bestFit="1" customWidth="1"/>
    <col min="7426" max="7427" width="21.44140625" style="3" customWidth="1"/>
    <col min="7428" max="7428" width="13.5546875" style="3" customWidth="1"/>
    <col min="7429" max="7429" width="15.6640625" style="3" customWidth="1"/>
    <col min="7430" max="7678" width="11.5546875" style="3"/>
    <col min="7679" max="7679" width="2.88671875" style="3" customWidth="1"/>
    <col min="7680" max="7680" width="34.44140625" style="3" bestFit="1" customWidth="1"/>
    <col min="7681" max="7681" width="30.44140625" style="3" bestFit="1" customWidth="1"/>
    <col min="7682" max="7683" width="21.44140625" style="3" customWidth="1"/>
    <col min="7684" max="7684" width="13.5546875" style="3" customWidth="1"/>
    <col min="7685" max="7685" width="15.6640625" style="3" customWidth="1"/>
    <col min="7686" max="7934" width="11.5546875" style="3"/>
    <col min="7935" max="7935" width="2.88671875" style="3" customWidth="1"/>
    <col min="7936" max="7936" width="34.44140625" style="3" bestFit="1" customWidth="1"/>
    <col min="7937" max="7937" width="30.44140625" style="3" bestFit="1" customWidth="1"/>
    <col min="7938" max="7939" width="21.44140625" style="3" customWidth="1"/>
    <col min="7940" max="7940" width="13.5546875" style="3" customWidth="1"/>
    <col min="7941" max="7941" width="15.6640625" style="3" customWidth="1"/>
    <col min="7942" max="8190" width="11.5546875" style="3"/>
    <col min="8191" max="8191" width="2.88671875" style="3" customWidth="1"/>
    <col min="8192" max="8192" width="34.44140625" style="3" bestFit="1" customWidth="1"/>
    <col min="8193" max="8193" width="30.44140625" style="3" bestFit="1" customWidth="1"/>
    <col min="8194" max="8195" width="21.44140625" style="3" customWidth="1"/>
    <col min="8196" max="8196" width="13.5546875" style="3" customWidth="1"/>
    <col min="8197" max="8197" width="15.6640625" style="3" customWidth="1"/>
    <col min="8198" max="8446" width="11.5546875" style="3"/>
    <col min="8447" max="8447" width="2.88671875" style="3" customWidth="1"/>
    <col min="8448" max="8448" width="34.44140625" style="3" bestFit="1" customWidth="1"/>
    <col min="8449" max="8449" width="30.44140625" style="3" bestFit="1" customWidth="1"/>
    <col min="8450" max="8451" width="21.44140625" style="3" customWidth="1"/>
    <col min="8452" max="8452" width="13.5546875" style="3" customWidth="1"/>
    <col min="8453" max="8453" width="15.6640625" style="3" customWidth="1"/>
    <col min="8454" max="8702" width="11.5546875" style="3"/>
    <col min="8703" max="8703" width="2.88671875" style="3" customWidth="1"/>
    <col min="8704" max="8704" width="34.44140625" style="3" bestFit="1" customWidth="1"/>
    <col min="8705" max="8705" width="30.44140625" style="3" bestFit="1" customWidth="1"/>
    <col min="8706" max="8707" width="21.44140625" style="3" customWidth="1"/>
    <col min="8708" max="8708" width="13.5546875" style="3" customWidth="1"/>
    <col min="8709" max="8709" width="15.6640625" style="3" customWidth="1"/>
    <col min="8710" max="8958" width="11.5546875" style="3"/>
    <col min="8959" max="8959" width="2.88671875" style="3" customWidth="1"/>
    <col min="8960" max="8960" width="34.44140625" style="3" bestFit="1" customWidth="1"/>
    <col min="8961" max="8961" width="30.44140625" style="3" bestFit="1" customWidth="1"/>
    <col min="8962" max="8963" width="21.44140625" style="3" customWidth="1"/>
    <col min="8964" max="8964" width="13.5546875" style="3" customWidth="1"/>
    <col min="8965" max="8965" width="15.6640625" style="3" customWidth="1"/>
    <col min="8966" max="9214" width="11.5546875" style="3"/>
    <col min="9215" max="9215" width="2.88671875" style="3" customWidth="1"/>
    <col min="9216" max="9216" width="34.44140625" style="3" bestFit="1" customWidth="1"/>
    <col min="9217" max="9217" width="30.44140625" style="3" bestFit="1" customWidth="1"/>
    <col min="9218" max="9219" width="21.44140625" style="3" customWidth="1"/>
    <col min="9220" max="9220" width="13.5546875" style="3" customWidth="1"/>
    <col min="9221" max="9221" width="15.6640625" style="3" customWidth="1"/>
    <col min="9222" max="9470" width="11.5546875" style="3"/>
    <col min="9471" max="9471" width="2.88671875" style="3" customWidth="1"/>
    <col min="9472" max="9472" width="34.44140625" style="3" bestFit="1" customWidth="1"/>
    <col min="9473" max="9473" width="30.44140625" style="3" bestFit="1" customWidth="1"/>
    <col min="9474" max="9475" width="21.44140625" style="3" customWidth="1"/>
    <col min="9476" max="9476" width="13.5546875" style="3" customWidth="1"/>
    <col min="9477" max="9477" width="15.6640625" style="3" customWidth="1"/>
    <col min="9478" max="9726" width="11.5546875" style="3"/>
    <col min="9727" max="9727" width="2.88671875" style="3" customWidth="1"/>
    <col min="9728" max="9728" width="34.44140625" style="3" bestFit="1" customWidth="1"/>
    <col min="9729" max="9729" width="30.44140625" style="3" bestFit="1" customWidth="1"/>
    <col min="9730" max="9731" width="21.44140625" style="3" customWidth="1"/>
    <col min="9732" max="9732" width="13.5546875" style="3" customWidth="1"/>
    <col min="9733" max="9733" width="15.6640625" style="3" customWidth="1"/>
    <col min="9734" max="9982" width="11.5546875" style="3"/>
    <col min="9983" max="9983" width="2.88671875" style="3" customWidth="1"/>
    <col min="9984" max="9984" width="34.44140625" style="3" bestFit="1" customWidth="1"/>
    <col min="9985" max="9985" width="30.44140625" style="3" bestFit="1" customWidth="1"/>
    <col min="9986" max="9987" width="21.44140625" style="3" customWidth="1"/>
    <col min="9988" max="9988" width="13.5546875" style="3" customWidth="1"/>
    <col min="9989" max="9989" width="15.6640625" style="3" customWidth="1"/>
    <col min="9990" max="10238" width="11.5546875" style="3"/>
    <col min="10239" max="10239" width="2.88671875" style="3" customWidth="1"/>
    <col min="10240" max="10240" width="34.44140625" style="3" bestFit="1" customWidth="1"/>
    <col min="10241" max="10241" width="30.44140625" style="3" bestFit="1" customWidth="1"/>
    <col min="10242" max="10243" width="21.44140625" style="3" customWidth="1"/>
    <col min="10244" max="10244" width="13.5546875" style="3" customWidth="1"/>
    <col min="10245" max="10245" width="15.6640625" style="3" customWidth="1"/>
    <col min="10246" max="10494" width="11.5546875" style="3"/>
    <col min="10495" max="10495" width="2.88671875" style="3" customWidth="1"/>
    <col min="10496" max="10496" width="34.44140625" style="3" bestFit="1" customWidth="1"/>
    <col min="10497" max="10497" width="30.44140625" style="3" bestFit="1" customWidth="1"/>
    <col min="10498" max="10499" width="21.44140625" style="3" customWidth="1"/>
    <col min="10500" max="10500" width="13.5546875" style="3" customWidth="1"/>
    <col min="10501" max="10501" width="15.6640625" style="3" customWidth="1"/>
    <col min="10502" max="10750" width="11.5546875" style="3"/>
    <col min="10751" max="10751" width="2.88671875" style="3" customWidth="1"/>
    <col min="10752" max="10752" width="34.44140625" style="3" bestFit="1" customWidth="1"/>
    <col min="10753" max="10753" width="30.44140625" style="3" bestFit="1" customWidth="1"/>
    <col min="10754" max="10755" width="21.44140625" style="3" customWidth="1"/>
    <col min="10756" max="10756" width="13.5546875" style="3" customWidth="1"/>
    <col min="10757" max="10757" width="15.6640625" style="3" customWidth="1"/>
    <col min="10758" max="11006" width="11.5546875" style="3"/>
    <col min="11007" max="11007" width="2.88671875" style="3" customWidth="1"/>
    <col min="11008" max="11008" width="34.44140625" style="3" bestFit="1" customWidth="1"/>
    <col min="11009" max="11009" width="30.44140625" style="3" bestFit="1" customWidth="1"/>
    <col min="11010" max="11011" width="21.44140625" style="3" customWidth="1"/>
    <col min="11012" max="11012" width="13.5546875" style="3" customWidth="1"/>
    <col min="11013" max="11013" width="15.6640625" style="3" customWidth="1"/>
    <col min="11014" max="11262" width="11.5546875" style="3"/>
    <col min="11263" max="11263" width="2.88671875" style="3" customWidth="1"/>
    <col min="11264" max="11264" width="34.44140625" style="3" bestFit="1" customWidth="1"/>
    <col min="11265" max="11265" width="30.44140625" style="3" bestFit="1" customWidth="1"/>
    <col min="11266" max="11267" width="21.44140625" style="3" customWidth="1"/>
    <col min="11268" max="11268" width="13.5546875" style="3" customWidth="1"/>
    <col min="11269" max="11269" width="15.6640625" style="3" customWidth="1"/>
    <col min="11270" max="11518" width="11.5546875" style="3"/>
    <col min="11519" max="11519" width="2.88671875" style="3" customWidth="1"/>
    <col min="11520" max="11520" width="34.44140625" style="3" bestFit="1" customWidth="1"/>
    <col min="11521" max="11521" width="30.44140625" style="3" bestFit="1" customWidth="1"/>
    <col min="11522" max="11523" width="21.44140625" style="3" customWidth="1"/>
    <col min="11524" max="11524" width="13.5546875" style="3" customWidth="1"/>
    <col min="11525" max="11525" width="15.6640625" style="3" customWidth="1"/>
    <col min="11526" max="11774" width="11.5546875" style="3"/>
    <col min="11775" max="11775" width="2.88671875" style="3" customWidth="1"/>
    <col min="11776" max="11776" width="34.44140625" style="3" bestFit="1" customWidth="1"/>
    <col min="11777" max="11777" width="30.44140625" style="3" bestFit="1" customWidth="1"/>
    <col min="11778" max="11779" width="21.44140625" style="3" customWidth="1"/>
    <col min="11780" max="11780" width="13.5546875" style="3" customWidth="1"/>
    <col min="11781" max="11781" width="15.6640625" style="3" customWidth="1"/>
    <col min="11782" max="12030" width="11.5546875" style="3"/>
    <col min="12031" max="12031" width="2.88671875" style="3" customWidth="1"/>
    <col min="12032" max="12032" width="34.44140625" style="3" bestFit="1" customWidth="1"/>
    <col min="12033" max="12033" width="30.44140625" style="3" bestFit="1" customWidth="1"/>
    <col min="12034" max="12035" width="21.44140625" style="3" customWidth="1"/>
    <col min="12036" max="12036" width="13.5546875" style="3" customWidth="1"/>
    <col min="12037" max="12037" width="15.6640625" style="3" customWidth="1"/>
    <col min="12038" max="12286" width="11.5546875" style="3"/>
    <col min="12287" max="12287" width="2.88671875" style="3" customWidth="1"/>
    <col min="12288" max="12288" width="34.44140625" style="3" bestFit="1" customWidth="1"/>
    <col min="12289" max="12289" width="30.44140625" style="3" bestFit="1" customWidth="1"/>
    <col min="12290" max="12291" width="21.44140625" style="3" customWidth="1"/>
    <col min="12292" max="12292" width="13.5546875" style="3" customWidth="1"/>
    <col min="12293" max="12293" width="15.6640625" style="3" customWidth="1"/>
    <col min="12294" max="12542" width="11.5546875" style="3"/>
    <col min="12543" max="12543" width="2.88671875" style="3" customWidth="1"/>
    <col min="12544" max="12544" width="34.44140625" style="3" bestFit="1" customWidth="1"/>
    <col min="12545" max="12545" width="30.44140625" style="3" bestFit="1" customWidth="1"/>
    <col min="12546" max="12547" width="21.44140625" style="3" customWidth="1"/>
    <col min="12548" max="12548" width="13.5546875" style="3" customWidth="1"/>
    <col min="12549" max="12549" width="15.6640625" style="3" customWidth="1"/>
    <col min="12550" max="12798" width="11.5546875" style="3"/>
    <col min="12799" max="12799" width="2.88671875" style="3" customWidth="1"/>
    <col min="12800" max="12800" width="34.44140625" style="3" bestFit="1" customWidth="1"/>
    <col min="12801" max="12801" width="30.44140625" style="3" bestFit="1" customWidth="1"/>
    <col min="12802" max="12803" width="21.44140625" style="3" customWidth="1"/>
    <col min="12804" max="12804" width="13.5546875" style="3" customWidth="1"/>
    <col min="12805" max="12805" width="15.6640625" style="3" customWidth="1"/>
    <col min="12806" max="13054" width="11.5546875" style="3"/>
    <col min="13055" max="13055" width="2.88671875" style="3" customWidth="1"/>
    <col min="13056" max="13056" width="34.44140625" style="3" bestFit="1" customWidth="1"/>
    <col min="13057" max="13057" width="30.44140625" style="3" bestFit="1" customWidth="1"/>
    <col min="13058" max="13059" width="21.44140625" style="3" customWidth="1"/>
    <col min="13060" max="13060" width="13.5546875" style="3" customWidth="1"/>
    <col min="13061" max="13061" width="15.6640625" style="3" customWidth="1"/>
    <col min="13062" max="13310" width="11.5546875" style="3"/>
    <col min="13311" max="13311" width="2.88671875" style="3" customWidth="1"/>
    <col min="13312" max="13312" width="34.44140625" style="3" bestFit="1" customWidth="1"/>
    <col min="13313" max="13313" width="30.44140625" style="3" bestFit="1" customWidth="1"/>
    <col min="13314" max="13315" width="21.44140625" style="3" customWidth="1"/>
    <col min="13316" max="13316" width="13.5546875" style="3" customWidth="1"/>
    <col min="13317" max="13317" width="15.6640625" style="3" customWidth="1"/>
    <col min="13318" max="13566" width="11.5546875" style="3"/>
    <col min="13567" max="13567" width="2.88671875" style="3" customWidth="1"/>
    <col min="13568" max="13568" width="34.44140625" style="3" bestFit="1" customWidth="1"/>
    <col min="13569" max="13569" width="30.44140625" style="3" bestFit="1" customWidth="1"/>
    <col min="13570" max="13571" width="21.44140625" style="3" customWidth="1"/>
    <col min="13572" max="13572" width="13.5546875" style="3" customWidth="1"/>
    <col min="13573" max="13573" width="15.6640625" style="3" customWidth="1"/>
    <col min="13574" max="13822" width="11.5546875" style="3"/>
    <col min="13823" max="13823" width="2.88671875" style="3" customWidth="1"/>
    <col min="13824" max="13824" width="34.44140625" style="3" bestFit="1" customWidth="1"/>
    <col min="13825" max="13825" width="30.44140625" style="3" bestFit="1" customWidth="1"/>
    <col min="13826" max="13827" width="21.44140625" style="3" customWidth="1"/>
    <col min="13828" max="13828" width="13.5546875" style="3" customWidth="1"/>
    <col min="13829" max="13829" width="15.6640625" style="3" customWidth="1"/>
    <col min="13830" max="14078" width="11.5546875" style="3"/>
    <col min="14079" max="14079" width="2.88671875" style="3" customWidth="1"/>
    <col min="14080" max="14080" width="34.44140625" style="3" bestFit="1" customWidth="1"/>
    <col min="14081" max="14081" width="30.44140625" style="3" bestFit="1" customWidth="1"/>
    <col min="14082" max="14083" width="21.44140625" style="3" customWidth="1"/>
    <col min="14084" max="14084" width="13.5546875" style="3" customWidth="1"/>
    <col min="14085" max="14085" width="15.6640625" style="3" customWidth="1"/>
    <col min="14086" max="14334" width="11.5546875" style="3"/>
    <col min="14335" max="14335" width="2.88671875" style="3" customWidth="1"/>
    <col min="14336" max="14336" width="34.44140625" style="3" bestFit="1" customWidth="1"/>
    <col min="14337" max="14337" width="30.44140625" style="3" bestFit="1" customWidth="1"/>
    <col min="14338" max="14339" width="21.44140625" style="3" customWidth="1"/>
    <col min="14340" max="14340" width="13.5546875" style="3" customWidth="1"/>
    <col min="14341" max="14341" width="15.6640625" style="3" customWidth="1"/>
    <col min="14342" max="14590" width="11.5546875" style="3"/>
    <col min="14591" max="14591" width="2.88671875" style="3" customWidth="1"/>
    <col min="14592" max="14592" width="34.44140625" style="3" bestFit="1" customWidth="1"/>
    <col min="14593" max="14593" width="30.44140625" style="3" bestFit="1" customWidth="1"/>
    <col min="14594" max="14595" width="21.44140625" style="3" customWidth="1"/>
    <col min="14596" max="14596" width="13.5546875" style="3" customWidth="1"/>
    <col min="14597" max="14597" width="15.6640625" style="3" customWidth="1"/>
    <col min="14598" max="14846" width="11.5546875" style="3"/>
    <col min="14847" max="14847" width="2.88671875" style="3" customWidth="1"/>
    <col min="14848" max="14848" width="34.44140625" style="3" bestFit="1" customWidth="1"/>
    <col min="14849" max="14849" width="30.44140625" style="3" bestFit="1" customWidth="1"/>
    <col min="14850" max="14851" width="21.44140625" style="3" customWidth="1"/>
    <col min="14852" max="14852" width="13.5546875" style="3" customWidth="1"/>
    <col min="14853" max="14853" width="15.6640625" style="3" customWidth="1"/>
    <col min="14854" max="15102" width="11.5546875" style="3"/>
    <col min="15103" max="15103" width="2.88671875" style="3" customWidth="1"/>
    <col min="15104" max="15104" width="34.44140625" style="3" bestFit="1" customWidth="1"/>
    <col min="15105" max="15105" width="30.44140625" style="3" bestFit="1" customWidth="1"/>
    <col min="15106" max="15107" width="21.44140625" style="3" customWidth="1"/>
    <col min="15108" max="15108" width="13.5546875" style="3" customWidth="1"/>
    <col min="15109" max="15109" width="15.6640625" style="3" customWidth="1"/>
    <col min="15110" max="15358" width="11.5546875" style="3"/>
    <col min="15359" max="15359" width="2.88671875" style="3" customWidth="1"/>
    <col min="15360" max="15360" width="34.44140625" style="3" bestFit="1" customWidth="1"/>
    <col min="15361" max="15361" width="30.44140625" style="3" bestFit="1" customWidth="1"/>
    <col min="15362" max="15363" width="21.44140625" style="3" customWidth="1"/>
    <col min="15364" max="15364" width="13.5546875" style="3" customWidth="1"/>
    <col min="15365" max="15365" width="15.6640625" style="3" customWidth="1"/>
    <col min="15366" max="15614" width="11.5546875" style="3"/>
    <col min="15615" max="15615" width="2.88671875" style="3" customWidth="1"/>
    <col min="15616" max="15616" width="34.44140625" style="3" bestFit="1" customWidth="1"/>
    <col min="15617" max="15617" width="30.44140625" style="3" bestFit="1" customWidth="1"/>
    <col min="15618" max="15619" width="21.44140625" style="3" customWidth="1"/>
    <col min="15620" max="15620" width="13.5546875" style="3" customWidth="1"/>
    <col min="15621" max="15621" width="15.6640625" style="3" customWidth="1"/>
    <col min="15622" max="15870" width="11.5546875" style="3"/>
    <col min="15871" max="15871" width="2.88671875" style="3" customWidth="1"/>
    <col min="15872" max="15872" width="34.44140625" style="3" bestFit="1" customWidth="1"/>
    <col min="15873" max="15873" width="30.44140625" style="3" bestFit="1" customWidth="1"/>
    <col min="15874" max="15875" width="21.44140625" style="3" customWidth="1"/>
    <col min="15876" max="15876" width="13.5546875" style="3" customWidth="1"/>
    <col min="15877" max="15877" width="15.6640625" style="3" customWidth="1"/>
    <col min="15878" max="16126" width="11.5546875" style="3"/>
    <col min="16127" max="16127" width="2.88671875" style="3" customWidth="1"/>
    <col min="16128" max="16128" width="34.44140625" style="3" bestFit="1" customWidth="1"/>
    <col min="16129" max="16129" width="30.44140625" style="3" bestFit="1" customWidth="1"/>
    <col min="16130" max="16131" width="21.44140625" style="3" customWidth="1"/>
    <col min="16132" max="16132" width="13.5546875" style="3" customWidth="1"/>
    <col min="16133" max="16133" width="15.6640625" style="3" customWidth="1"/>
    <col min="16134" max="16384" width="11.5546875" style="3"/>
  </cols>
  <sheetData>
    <row r="2" spans="2:2" ht="92.4" x14ac:dyDescent="0.85">
      <c r="B2" s="30" t="s">
        <v>112</v>
      </c>
    </row>
    <row r="5" spans="2:2" x14ac:dyDescent="0.3">
      <c r="B5" s="1" t="s">
        <v>109</v>
      </c>
    </row>
    <row r="6" spans="2:2" x14ac:dyDescent="0.3">
      <c r="B6" s="3" t="s">
        <v>184</v>
      </c>
    </row>
    <row r="10" spans="2:2" x14ac:dyDescent="0.3">
      <c r="B10" s="1" t="s">
        <v>110</v>
      </c>
    </row>
    <row r="11" spans="2:2" x14ac:dyDescent="0.3">
      <c r="B11" s="31" t="s">
        <v>111</v>
      </c>
    </row>
    <row r="22" spans="2:2" x14ac:dyDescent="0.3">
      <c r="B22" s="1"/>
    </row>
    <row r="39" spans="2:2" x14ac:dyDescent="0.3">
      <c r="B39" s="1"/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04C2EA-1D42-419D-9228-F95905C52A35}">
  <sheetPr>
    <pageSetUpPr fitToPage="1"/>
  </sheetPr>
  <dimension ref="B2:D25"/>
  <sheetViews>
    <sheetView zoomScaleNormal="100"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23.109375" bestFit="1" customWidth="1"/>
    <col min="3" max="3" width="33.5546875" bestFit="1" customWidth="1"/>
    <col min="4" max="4" width="17.109375" customWidth="1"/>
    <col min="5" max="5" width="2.6640625" customWidth="1"/>
  </cols>
  <sheetData>
    <row r="2" spans="2:4" x14ac:dyDescent="0.3">
      <c r="B2" s="1" t="s">
        <v>7</v>
      </c>
    </row>
    <row r="3" spans="2:4" x14ac:dyDescent="0.3">
      <c r="B3" s="3" t="s">
        <v>124</v>
      </c>
    </row>
    <row r="5" spans="2:4" x14ac:dyDescent="0.3">
      <c r="C5" t="s">
        <v>22</v>
      </c>
      <c r="D5" s="42">
        <v>300</v>
      </c>
    </row>
    <row r="6" spans="2:4" x14ac:dyDescent="0.3">
      <c r="C6" t="s">
        <v>24</v>
      </c>
      <c r="D6" s="55">
        <v>0.2</v>
      </c>
    </row>
    <row r="7" spans="2:4" x14ac:dyDescent="0.3">
      <c r="C7" s="54" t="s">
        <v>182</v>
      </c>
      <c r="D7" s="82">
        <f>D5*(1+D6)</f>
        <v>360</v>
      </c>
    </row>
    <row r="8" spans="2:4" x14ac:dyDescent="0.3">
      <c r="C8" s="54"/>
      <c r="D8" s="42"/>
    </row>
    <row r="9" spans="2:4" x14ac:dyDescent="0.3">
      <c r="C9" t="s">
        <v>23</v>
      </c>
      <c r="D9" s="42">
        <v>100</v>
      </c>
    </row>
    <row r="10" spans="2:4" x14ac:dyDescent="0.3">
      <c r="C10" t="s">
        <v>25</v>
      </c>
      <c r="D10" s="55">
        <v>1.4</v>
      </c>
    </row>
    <row r="11" spans="2:4" x14ac:dyDescent="0.3">
      <c r="C11" s="54" t="s">
        <v>183</v>
      </c>
      <c r="D11" s="82">
        <f>D9*(1+D10)</f>
        <v>240</v>
      </c>
    </row>
    <row r="12" spans="2:4" x14ac:dyDescent="0.3">
      <c r="C12" s="54"/>
      <c r="D12" s="42"/>
    </row>
    <row r="13" spans="2:4" x14ac:dyDescent="0.3">
      <c r="C13" s="54" t="s">
        <v>162</v>
      </c>
      <c r="D13" s="81">
        <f>D7+D11</f>
        <v>600</v>
      </c>
    </row>
    <row r="14" spans="2:4" x14ac:dyDescent="0.3">
      <c r="C14" s="54"/>
      <c r="D14" s="42"/>
    </row>
    <row r="15" spans="2:4" x14ac:dyDescent="0.3">
      <c r="C15" t="s">
        <v>26</v>
      </c>
      <c r="D15" s="55">
        <v>0.2</v>
      </c>
    </row>
    <row r="16" spans="2:4" x14ac:dyDescent="0.3">
      <c r="C16" t="s">
        <v>27</v>
      </c>
      <c r="D16" s="55">
        <v>0.3</v>
      </c>
    </row>
    <row r="17" spans="3:4" x14ac:dyDescent="0.3">
      <c r="C17" s="54" t="s">
        <v>28</v>
      </c>
      <c r="D17" s="81">
        <f>(D5*(1+D6)+D9*(1+D10))*(1+D15+D16)</f>
        <v>900</v>
      </c>
    </row>
    <row r="20" spans="3:4" x14ac:dyDescent="0.3">
      <c r="C20" t="s">
        <v>28</v>
      </c>
      <c r="D20" s="80">
        <f>D17</f>
        <v>900</v>
      </c>
    </row>
    <row r="21" spans="3:4" x14ac:dyDescent="0.3">
      <c r="C21" t="s">
        <v>133</v>
      </c>
      <c r="D21" s="55">
        <v>0.4</v>
      </c>
    </row>
    <row r="22" spans="3:4" x14ac:dyDescent="0.3">
      <c r="C22" t="s">
        <v>134</v>
      </c>
      <c r="D22" s="55">
        <v>0.15</v>
      </c>
    </row>
    <row r="23" spans="3:4" x14ac:dyDescent="0.3">
      <c r="C23" t="s">
        <v>135</v>
      </c>
      <c r="D23" s="55">
        <v>0.1</v>
      </c>
    </row>
    <row r="24" spans="3:4" x14ac:dyDescent="0.3">
      <c r="C24" t="s">
        <v>136</v>
      </c>
      <c r="D24" s="55">
        <v>0.19</v>
      </c>
    </row>
    <row r="25" spans="3:4" x14ac:dyDescent="0.3">
      <c r="C25" s="54" t="s">
        <v>137</v>
      </c>
      <c r="D25" s="81">
        <f>D20*(1+D21)/(1-D22)/(1-D23)*(1+D24)</f>
        <v>1960.0000000000002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2:E21"/>
  <sheetViews>
    <sheetView zoomScaleNormal="100" workbookViewId="0">
      <selection activeCell="B2" sqref="B2"/>
    </sheetView>
  </sheetViews>
  <sheetFormatPr baseColWidth="10" defaultRowHeight="14.4" x14ac:dyDescent="0.3"/>
  <cols>
    <col min="1" max="1" width="2.44140625" style="3" customWidth="1"/>
    <col min="2" max="2" width="11.5546875" style="3"/>
    <col min="3" max="3" width="43.6640625" style="3" bestFit="1" customWidth="1"/>
    <col min="4" max="5" width="14.88671875" style="3" customWidth="1"/>
    <col min="6" max="6" width="2.5546875" style="3" customWidth="1"/>
    <col min="7" max="16384" width="11.5546875" style="3"/>
  </cols>
  <sheetData>
    <row r="2" spans="2:5" x14ac:dyDescent="0.3">
      <c r="B2" s="1" t="s">
        <v>163</v>
      </c>
    </row>
    <row r="3" spans="2:5" x14ac:dyDescent="0.3">
      <c r="B3" s="3" t="s">
        <v>180</v>
      </c>
    </row>
    <row r="5" spans="2:5" ht="14.4" customHeight="1" x14ac:dyDescent="0.3">
      <c r="C5" s="74" t="s">
        <v>42</v>
      </c>
      <c r="D5" s="51">
        <v>600000</v>
      </c>
    </row>
    <row r="6" spans="2:5" ht="14.4" customHeight="1" x14ac:dyDescent="0.3">
      <c r="C6" s="74" t="s">
        <v>43</v>
      </c>
      <c r="D6" s="51">
        <v>400000</v>
      </c>
    </row>
    <row r="7" spans="2:5" ht="14.4" customHeight="1" x14ac:dyDescent="0.3">
      <c r="C7" s="75" t="s">
        <v>164</v>
      </c>
      <c r="D7" s="51">
        <v>110000</v>
      </c>
    </row>
    <row r="8" spans="2:5" ht="14.4" customHeight="1" x14ac:dyDescent="0.3">
      <c r="C8" s="75" t="s">
        <v>165</v>
      </c>
      <c r="D8" s="51">
        <v>260000</v>
      </c>
    </row>
    <row r="9" spans="2:5" ht="14.4" customHeight="1" x14ac:dyDescent="0.3">
      <c r="C9" s="74" t="s">
        <v>166</v>
      </c>
      <c r="D9" s="51">
        <v>200000</v>
      </c>
    </row>
    <row r="10" spans="2:5" ht="14.4" customHeight="1" x14ac:dyDescent="0.3">
      <c r="C10" s="74" t="s">
        <v>167</v>
      </c>
      <c r="D10" s="51">
        <f>D11+D12</f>
        <v>800000</v>
      </c>
    </row>
    <row r="11" spans="2:5" ht="14.4" customHeight="1" x14ac:dyDescent="0.3">
      <c r="C11" s="75" t="s">
        <v>168</v>
      </c>
      <c r="D11" s="51">
        <v>700000</v>
      </c>
    </row>
    <row r="12" spans="2:5" ht="14.4" customHeight="1" x14ac:dyDescent="0.3">
      <c r="C12" s="75" t="s">
        <v>169</v>
      </c>
      <c r="D12" s="51">
        <v>100000</v>
      </c>
    </row>
    <row r="13" spans="2:5" ht="14.4" customHeight="1" x14ac:dyDescent="0.3">
      <c r="C13" s="75"/>
      <c r="D13" s="51"/>
    </row>
    <row r="15" spans="2:5" x14ac:dyDescent="0.3">
      <c r="E15" s="1" t="s">
        <v>181</v>
      </c>
    </row>
    <row r="16" spans="2:5" x14ac:dyDescent="0.3">
      <c r="C16" s="76" t="s">
        <v>170</v>
      </c>
      <c r="D16" s="77">
        <f>D7/D12</f>
        <v>1.1000000000000001</v>
      </c>
    </row>
    <row r="17" spans="3:5" x14ac:dyDescent="0.3">
      <c r="C17" s="76" t="s">
        <v>171</v>
      </c>
      <c r="D17" s="77">
        <f>(D7+D8)/D12</f>
        <v>3.7</v>
      </c>
    </row>
    <row r="18" spans="3:5" x14ac:dyDescent="0.3">
      <c r="C18" s="76" t="s">
        <v>172</v>
      </c>
      <c r="D18" s="77">
        <f>D6/D12</f>
        <v>4</v>
      </c>
      <c r="E18" s="3" t="s">
        <v>173</v>
      </c>
    </row>
    <row r="19" spans="3:5" x14ac:dyDescent="0.3">
      <c r="C19" s="76" t="s">
        <v>174</v>
      </c>
      <c r="D19" s="78">
        <f>(D9+D11)/D5</f>
        <v>1.5</v>
      </c>
      <c r="E19" s="3" t="s">
        <v>175</v>
      </c>
    </row>
    <row r="20" spans="3:5" x14ac:dyDescent="0.3">
      <c r="C20" s="76" t="s">
        <v>176</v>
      </c>
      <c r="D20" s="77">
        <f>D10/D9</f>
        <v>4</v>
      </c>
      <c r="E20" s="3" t="s">
        <v>177</v>
      </c>
    </row>
    <row r="21" spans="3:5" x14ac:dyDescent="0.3">
      <c r="C21" s="76" t="s">
        <v>178</v>
      </c>
      <c r="D21" s="77">
        <f>D9/(D9+D10)</f>
        <v>0.2</v>
      </c>
      <c r="E21" s="3" t="s">
        <v>179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2:F30"/>
  <sheetViews>
    <sheetView zoomScaleNormal="100"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9.88671875" bestFit="1" customWidth="1"/>
    <col min="3" max="3" width="75.6640625" bestFit="1" customWidth="1"/>
    <col min="4" max="6" width="18.88671875" customWidth="1"/>
    <col min="7" max="7" width="2.6640625" customWidth="1"/>
  </cols>
  <sheetData>
    <row r="2" spans="2:5" x14ac:dyDescent="0.3">
      <c r="B2" s="1" t="s">
        <v>70</v>
      </c>
    </row>
    <row r="3" spans="2:5" x14ac:dyDescent="0.3">
      <c r="B3" s="3" t="s">
        <v>140</v>
      </c>
    </row>
    <row r="4" spans="2:5" x14ac:dyDescent="0.3">
      <c r="B4" s="3"/>
    </row>
    <row r="5" spans="2:5" x14ac:dyDescent="0.3">
      <c r="C5" s="1" t="s">
        <v>145</v>
      </c>
    </row>
    <row r="6" spans="2:5" x14ac:dyDescent="0.3">
      <c r="C6" t="s">
        <v>69</v>
      </c>
      <c r="D6" s="63">
        <v>20</v>
      </c>
    </row>
    <row r="7" spans="2:5" x14ac:dyDescent="0.3">
      <c r="C7" t="s">
        <v>68</v>
      </c>
      <c r="D7" s="62">
        <v>50000</v>
      </c>
    </row>
    <row r="8" spans="2:5" x14ac:dyDescent="0.3">
      <c r="C8" t="s">
        <v>67</v>
      </c>
      <c r="D8" s="62">
        <v>52000</v>
      </c>
    </row>
    <row r="9" spans="2:5" x14ac:dyDescent="0.3">
      <c r="C9" t="s">
        <v>66</v>
      </c>
      <c r="D9" s="62">
        <v>55000</v>
      </c>
    </row>
    <row r="10" spans="2:5" x14ac:dyDescent="0.3">
      <c r="C10" t="s">
        <v>65</v>
      </c>
      <c r="D10" s="4">
        <v>40000</v>
      </c>
    </row>
    <row r="11" spans="2:5" x14ac:dyDescent="0.3">
      <c r="C11" t="s">
        <v>64</v>
      </c>
      <c r="D11" s="42">
        <v>200</v>
      </c>
    </row>
    <row r="12" spans="2:5" x14ac:dyDescent="0.3">
      <c r="C12" t="s">
        <v>63</v>
      </c>
      <c r="E12" s="42">
        <v>130</v>
      </c>
    </row>
    <row r="13" spans="2:5" x14ac:dyDescent="0.3">
      <c r="C13" t="s">
        <v>62</v>
      </c>
      <c r="D13" s="64">
        <v>50000</v>
      </c>
    </row>
    <row r="14" spans="2:5" x14ac:dyDescent="0.3">
      <c r="D14" s="45"/>
    </row>
    <row r="15" spans="2:5" x14ac:dyDescent="0.3">
      <c r="C15" s="1" t="s">
        <v>146</v>
      </c>
      <c r="D15" s="58"/>
    </row>
    <row r="16" spans="2:5" x14ac:dyDescent="0.3">
      <c r="C16" t="s">
        <v>61</v>
      </c>
      <c r="E16" s="45">
        <v>495000</v>
      </c>
    </row>
    <row r="17" spans="3:6" x14ac:dyDescent="0.3">
      <c r="C17" t="s">
        <v>60</v>
      </c>
      <c r="E17" s="45">
        <v>20500</v>
      </c>
    </row>
    <row r="18" spans="3:6" x14ac:dyDescent="0.3">
      <c r="C18" t="s">
        <v>59</v>
      </c>
      <c r="D18" s="61">
        <v>3</v>
      </c>
    </row>
    <row r="19" spans="3:6" x14ac:dyDescent="0.3">
      <c r="C19" t="s">
        <v>141</v>
      </c>
      <c r="E19" s="45">
        <v>5000</v>
      </c>
    </row>
    <row r="20" spans="3:6" x14ac:dyDescent="0.3">
      <c r="C20" t="s">
        <v>58</v>
      </c>
      <c r="D20" s="33">
        <v>200</v>
      </c>
      <c r="E20" s="70">
        <f>D20</f>
        <v>200</v>
      </c>
    </row>
    <row r="21" spans="3:6" x14ac:dyDescent="0.3">
      <c r="C21" t="s">
        <v>57</v>
      </c>
      <c r="D21" s="33">
        <v>300</v>
      </c>
      <c r="E21" s="70">
        <f t="shared" ref="E21:E22" si="0">D21</f>
        <v>300</v>
      </c>
    </row>
    <row r="22" spans="3:6" x14ac:dyDescent="0.3">
      <c r="C22" t="s">
        <v>56</v>
      </c>
      <c r="D22" s="33">
        <v>350</v>
      </c>
      <c r="E22" s="70">
        <f t="shared" si="0"/>
        <v>350</v>
      </c>
    </row>
    <row r="23" spans="3:6" x14ac:dyDescent="0.3">
      <c r="C23" t="s">
        <v>55</v>
      </c>
      <c r="D23" s="45">
        <v>0</v>
      </c>
    </row>
    <row r="26" spans="3:6" x14ac:dyDescent="0.3">
      <c r="C26" s="21" t="s">
        <v>54</v>
      </c>
      <c r="D26" s="7" t="s">
        <v>142</v>
      </c>
      <c r="E26" s="7" t="s">
        <v>143</v>
      </c>
      <c r="F26" s="7" t="s">
        <v>144</v>
      </c>
    </row>
    <row r="27" spans="3:6" x14ac:dyDescent="0.3">
      <c r="C27" s="7" t="s">
        <v>53</v>
      </c>
      <c r="D27" s="40">
        <v>0</v>
      </c>
      <c r="E27" s="40">
        <f>E16+E17</f>
        <v>515500</v>
      </c>
      <c r="F27" s="40">
        <f>D27-E27</f>
        <v>-515500</v>
      </c>
    </row>
    <row r="28" spans="3:6" x14ac:dyDescent="0.3">
      <c r="C28" s="7" t="s">
        <v>52</v>
      </c>
      <c r="D28" s="40">
        <f>D$18*D7+D20*D$11</f>
        <v>190000</v>
      </c>
      <c r="E28" s="40">
        <f>E$19+D20*E$12</f>
        <v>31000</v>
      </c>
      <c r="F28" s="40">
        <f t="shared" ref="F28:F30" si="1">D28-E28</f>
        <v>159000</v>
      </c>
    </row>
    <row r="29" spans="3:6" x14ac:dyDescent="0.3">
      <c r="C29" s="7" t="s">
        <v>51</v>
      </c>
      <c r="D29" s="40">
        <f>D$18*D8+D21*D$11</f>
        <v>216000</v>
      </c>
      <c r="E29" s="40">
        <f>E$19+D21*E$12</f>
        <v>44000</v>
      </c>
      <c r="F29" s="40">
        <f t="shared" si="1"/>
        <v>172000</v>
      </c>
    </row>
    <row r="30" spans="3:6" x14ac:dyDescent="0.3">
      <c r="C30" s="7" t="s">
        <v>50</v>
      </c>
      <c r="D30" s="40">
        <f>D$18*D9+D22*D$11+D23</f>
        <v>235000</v>
      </c>
      <c r="E30" s="40">
        <f>E$19+D22*E$12</f>
        <v>50500</v>
      </c>
      <c r="F30" s="40">
        <f t="shared" si="1"/>
        <v>184500</v>
      </c>
    </row>
  </sheetData>
  <pageMargins left="0.70866141732283472" right="0.70866141732283472" top="0.78740157480314965" bottom="0.78740157480314965" header="0.31496062992125984" footer="0.31496062992125984"/>
  <pageSetup paperSize="9" scale="88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2:D24"/>
  <sheetViews>
    <sheetView workbookViewId="0">
      <selection activeCell="B2" sqref="B2"/>
    </sheetView>
  </sheetViews>
  <sheetFormatPr baseColWidth="10" defaultRowHeight="15.6" customHeight="1" x14ac:dyDescent="0.3"/>
  <cols>
    <col min="1" max="1" width="2.88671875" customWidth="1"/>
    <col min="2" max="2" width="19.88671875" bestFit="1" customWidth="1"/>
    <col min="3" max="3" width="30.21875" bestFit="1" customWidth="1"/>
    <col min="4" max="4" width="11.77734375" customWidth="1"/>
    <col min="5" max="5" width="2.88671875" customWidth="1"/>
  </cols>
  <sheetData>
    <row r="2" spans="2:4" ht="15.6" customHeight="1" x14ac:dyDescent="0.3">
      <c r="B2" s="1" t="s">
        <v>70</v>
      </c>
    </row>
    <row r="3" spans="2:4" ht="15.6" customHeight="1" x14ac:dyDescent="0.3">
      <c r="B3" t="s">
        <v>157</v>
      </c>
    </row>
    <row r="5" spans="2:4" ht="15.6" customHeight="1" x14ac:dyDescent="0.35">
      <c r="C5" t="s">
        <v>161</v>
      </c>
      <c r="D5" s="65">
        <v>218064</v>
      </c>
    </row>
    <row r="6" spans="2:4" ht="15.6" customHeight="1" x14ac:dyDescent="0.35">
      <c r="C6" t="s">
        <v>147</v>
      </c>
      <c r="D6" s="55">
        <v>0.1</v>
      </c>
    </row>
    <row r="7" spans="2:4" ht="15.6" customHeight="1" x14ac:dyDescent="0.3">
      <c r="C7" t="s">
        <v>87</v>
      </c>
      <c r="D7" s="66">
        <v>4</v>
      </c>
    </row>
    <row r="8" spans="2:4" ht="15.6" customHeight="1" x14ac:dyDescent="0.35">
      <c r="C8" t="s">
        <v>148</v>
      </c>
      <c r="D8" s="65">
        <v>55000</v>
      </c>
    </row>
    <row r="9" spans="2:4" ht="15.6" customHeight="1" x14ac:dyDescent="0.35">
      <c r="C9" t="s">
        <v>149</v>
      </c>
      <c r="D9" s="65">
        <v>70180</v>
      </c>
    </row>
    <row r="10" spans="2:4" ht="15.6" customHeight="1" x14ac:dyDescent="0.35">
      <c r="C10" t="s">
        <v>150</v>
      </c>
      <c r="D10" s="65">
        <v>98494</v>
      </c>
    </row>
    <row r="11" spans="2:4" ht="15.6" customHeight="1" x14ac:dyDescent="0.35">
      <c r="C11" t="s">
        <v>151</v>
      </c>
      <c r="D11" s="65">
        <v>87846</v>
      </c>
    </row>
    <row r="12" spans="2:4" ht="15.6" customHeight="1" x14ac:dyDescent="0.35">
      <c r="C12" t="s">
        <v>152</v>
      </c>
      <c r="D12" s="65">
        <v>29282</v>
      </c>
    </row>
    <row r="13" spans="2:4" ht="15.6" customHeight="1" x14ac:dyDescent="0.3">
      <c r="D13" s="58"/>
    </row>
    <row r="14" spans="2:4" ht="15.6" customHeight="1" x14ac:dyDescent="0.35">
      <c r="C14" t="s">
        <v>153</v>
      </c>
      <c r="D14" s="55">
        <v>0.16</v>
      </c>
    </row>
    <row r="15" spans="2:4" ht="15.6" customHeight="1" x14ac:dyDescent="0.35">
      <c r="C15" t="s">
        <v>154</v>
      </c>
      <c r="D15" s="67">
        <f>NPV(D14,D8,D9,D10,D11+D12)-D5</f>
        <v>9294.6541275674535</v>
      </c>
    </row>
    <row r="17" spans="3:4" ht="15.6" customHeight="1" x14ac:dyDescent="0.35">
      <c r="C17" t="s">
        <v>155</v>
      </c>
      <c r="D17" s="55">
        <v>0.2</v>
      </c>
    </row>
    <row r="18" spans="3:4" ht="15.6" customHeight="1" x14ac:dyDescent="0.35">
      <c r="C18" t="s">
        <v>156</v>
      </c>
      <c r="D18" s="67">
        <f>NPV(D17,D8,D9,D10,D11+D12)-D5</f>
        <v>-10010.373456790112</v>
      </c>
    </row>
    <row r="21" spans="3:4" ht="15.6" customHeight="1" x14ac:dyDescent="0.3">
      <c r="C21" s="18" t="s">
        <v>86</v>
      </c>
      <c r="D21" s="68">
        <f>D5/AVERAGE(D8:D11)</f>
        <v>2.8</v>
      </c>
    </row>
    <row r="22" spans="3:4" ht="15.6" customHeight="1" x14ac:dyDescent="0.35">
      <c r="C22" s="18" t="s">
        <v>158</v>
      </c>
      <c r="D22" s="40">
        <f>NPV(D6,D8,D9,D10,D11+D12)-D5</f>
        <v>43935.999999999971</v>
      </c>
    </row>
    <row r="23" spans="3:4" ht="15.6" customHeight="1" x14ac:dyDescent="0.35">
      <c r="C23" s="18" t="s">
        <v>159</v>
      </c>
      <c r="D23" s="69">
        <f>D14-(D15*(D17-D14)/(D18-D15))</f>
        <v>0.17925851509292576</v>
      </c>
    </row>
    <row r="24" spans="3:4" ht="15.6" customHeight="1" x14ac:dyDescent="0.35">
      <c r="C24" s="18" t="s">
        <v>160</v>
      </c>
      <c r="D24" s="40">
        <f>D15*(D14*(1+D14)^D7)/((1+D14)^D7-1)</f>
        <v>3321.6776645950367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2:D35"/>
  <sheetViews>
    <sheetView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23.33203125" bestFit="1" customWidth="1"/>
    <col min="3" max="4" width="21.109375" customWidth="1"/>
    <col min="5" max="5" width="2.6640625" customWidth="1"/>
  </cols>
  <sheetData>
    <row r="2" spans="2:4" x14ac:dyDescent="0.3">
      <c r="B2" s="1" t="s">
        <v>108</v>
      </c>
    </row>
    <row r="3" spans="2:4" x14ac:dyDescent="0.3">
      <c r="B3" s="1"/>
    </row>
    <row r="4" spans="2:4" x14ac:dyDescent="0.3">
      <c r="C4" s="1"/>
    </row>
    <row r="5" spans="2:4" x14ac:dyDescent="0.3">
      <c r="B5" s="1" t="s">
        <v>138</v>
      </c>
      <c r="C5" s="1"/>
    </row>
    <row r="7" spans="2:4" x14ac:dyDescent="0.3">
      <c r="C7" s="3" t="s">
        <v>99</v>
      </c>
      <c r="D7" s="56">
        <v>6</v>
      </c>
    </row>
    <row r="8" spans="2:4" x14ac:dyDescent="0.3">
      <c r="C8" s="3" t="s">
        <v>98</v>
      </c>
      <c r="D8" s="57">
        <v>145</v>
      </c>
    </row>
    <row r="9" spans="2:4" x14ac:dyDescent="0.3">
      <c r="C9" s="3" t="s">
        <v>97</v>
      </c>
      <c r="D9" s="57">
        <v>20</v>
      </c>
    </row>
    <row r="10" spans="2:4" x14ac:dyDescent="0.3">
      <c r="C10" s="3" t="s">
        <v>96</v>
      </c>
      <c r="D10" s="58">
        <v>1.29</v>
      </c>
    </row>
    <row r="12" spans="2:4" x14ac:dyDescent="0.3">
      <c r="C12" s="1" t="s">
        <v>107</v>
      </c>
      <c r="D12" s="2" t="s">
        <v>106</v>
      </c>
    </row>
    <row r="13" spans="2:4" x14ac:dyDescent="0.3">
      <c r="C13" t="s">
        <v>105</v>
      </c>
      <c r="D13" s="33">
        <v>20</v>
      </c>
    </row>
    <row r="14" spans="2:4" x14ac:dyDescent="0.3">
      <c r="C14" t="s">
        <v>104</v>
      </c>
      <c r="D14" s="33">
        <v>5</v>
      </c>
    </row>
    <row r="15" spans="2:4" x14ac:dyDescent="0.3">
      <c r="C15" t="s">
        <v>103</v>
      </c>
      <c r="D15" s="33">
        <v>10</v>
      </c>
    </row>
    <row r="16" spans="2:4" x14ac:dyDescent="0.3">
      <c r="C16" t="s">
        <v>102</v>
      </c>
      <c r="D16" s="33">
        <v>0</v>
      </c>
    </row>
    <row r="17" spans="2:4" x14ac:dyDescent="0.3">
      <c r="C17" t="s">
        <v>101</v>
      </c>
      <c r="D17" s="33">
        <v>30</v>
      </c>
    </row>
    <row r="18" spans="2:4" x14ac:dyDescent="0.3">
      <c r="C18" t="s">
        <v>100</v>
      </c>
      <c r="D18" s="33">
        <v>10</v>
      </c>
    </row>
    <row r="21" spans="2:4" x14ac:dyDescent="0.3">
      <c r="C21" s="18" t="s">
        <v>95</v>
      </c>
      <c r="D21" s="29">
        <f>SQRT(1/D7*((D13-AVERAGE(D13:D18))^2+(D14-AVERAGE(D13:D18))^2+(D15-AVERAGE(D13:D18))^2+(D16-AVERAGE(D13:D18))^2+(D17-AVERAGE(D13:D18))^2+(D18-AVERAGE(D13:D18))^2))</f>
        <v>9.8952850725315979</v>
      </c>
    </row>
    <row r="22" spans="2:4" x14ac:dyDescent="0.3">
      <c r="C22" s="18" t="s">
        <v>94</v>
      </c>
      <c r="D22" s="28">
        <f>D21/AVERAGE(D13:D18)</f>
        <v>0.79162280580252786</v>
      </c>
    </row>
    <row r="23" spans="2:4" x14ac:dyDescent="0.3">
      <c r="C23" s="18" t="s">
        <v>93</v>
      </c>
      <c r="D23" s="17">
        <f>SUM(D13:D18)/D8*D9+D21*D10</f>
        <v>23.109745329772657</v>
      </c>
    </row>
    <row r="26" spans="2:4" x14ac:dyDescent="0.3">
      <c r="B26" s="1" t="s">
        <v>139</v>
      </c>
    </row>
    <row r="28" spans="2:4" x14ac:dyDescent="0.3">
      <c r="C28" s="3" t="s">
        <v>92</v>
      </c>
      <c r="D28" s="33">
        <f>SUM(D13:D18)*2</f>
        <v>150</v>
      </c>
    </row>
    <row r="29" spans="2:4" x14ac:dyDescent="0.3">
      <c r="C29" s="3" t="s">
        <v>41</v>
      </c>
      <c r="D29" s="59">
        <v>40</v>
      </c>
    </row>
    <row r="30" spans="2:4" x14ac:dyDescent="0.3">
      <c r="C30" s="3" t="s">
        <v>91</v>
      </c>
      <c r="D30" s="59">
        <v>4000</v>
      </c>
    </row>
    <row r="31" spans="2:4" x14ac:dyDescent="0.3">
      <c r="C31" s="3" t="s">
        <v>90</v>
      </c>
      <c r="D31" s="60">
        <v>0.06</v>
      </c>
    </row>
    <row r="32" spans="2:4" x14ac:dyDescent="0.3">
      <c r="C32" s="3"/>
      <c r="D32" s="60"/>
    </row>
    <row r="34" spans="3:4" x14ac:dyDescent="0.3">
      <c r="C34" s="18" t="s">
        <v>89</v>
      </c>
      <c r="D34" s="17">
        <f>SQRT((2*D28*D29)/(D30*D31))</f>
        <v>7.0710678118654755</v>
      </c>
    </row>
    <row r="35" spans="3:4" x14ac:dyDescent="0.3">
      <c r="C35" s="18" t="s">
        <v>88</v>
      </c>
      <c r="D35" s="27">
        <f>D28/D34</f>
        <v>21.213203435596427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H16"/>
  <sheetViews>
    <sheetView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4.77734375" style="3" bestFit="1" customWidth="1"/>
    <col min="3" max="8" width="12.77734375" style="3" customWidth="1"/>
    <col min="9" max="9" width="2.6640625" style="3" customWidth="1"/>
    <col min="10" max="16384" width="11.44140625" style="3"/>
  </cols>
  <sheetData>
    <row r="2" spans="2:8" x14ac:dyDescent="0.3">
      <c r="B2" s="1" t="s">
        <v>29</v>
      </c>
    </row>
    <row r="3" spans="2:8" x14ac:dyDescent="0.3">
      <c r="B3" s="3" t="s">
        <v>113</v>
      </c>
    </row>
    <row r="4" spans="2:8" x14ac:dyDescent="0.3">
      <c r="C4" s="5"/>
      <c r="D4" s="6"/>
    </row>
    <row r="5" spans="2:8" x14ac:dyDescent="0.3">
      <c r="C5" s="1"/>
      <c r="D5" s="2" t="s">
        <v>30</v>
      </c>
      <c r="E5" s="2" t="s">
        <v>31</v>
      </c>
      <c r="F5" s="2" t="s">
        <v>32</v>
      </c>
      <c r="G5" s="2" t="s">
        <v>33</v>
      </c>
      <c r="H5" s="7" t="s">
        <v>34</v>
      </c>
    </row>
    <row r="6" spans="2:8" x14ac:dyDescent="0.3">
      <c r="C6" s="16" t="s">
        <v>35</v>
      </c>
      <c r="D6" s="2" t="s">
        <v>36</v>
      </c>
      <c r="E6" s="2" t="s">
        <v>37</v>
      </c>
      <c r="F6" s="2" t="s">
        <v>36</v>
      </c>
      <c r="G6" s="2" t="s">
        <v>38</v>
      </c>
      <c r="H6" s="7" t="s">
        <v>36</v>
      </c>
    </row>
    <row r="7" spans="2:8" x14ac:dyDescent="0.3">
      <c r="C7" s="32">
        <v>20</v>
      </c>
      <c r="D7" s="33">
        <v>70</v>
      </c>
      <c r="E7" s="4">
        <f>D7</f>
        <v>70</v>
      </c>
      <c r="F7" s="33">
        <v>350</v>
      </c>
      <c r="G7" s="4">
        <f t="shared" ref="G7:G14" si="0">G8+F7</f>
        <v>1650</v>
      </c>
      <c r="H7" s="17">
        <f>MIN(E7,G7)</f>
        <v>70</v>
      </c>
    </row>
    <row r="8" spans="2:8" x14ac:dyDescent="0.3">
      <c r="C8" s="32">
        <v>20.100000000000001</v>
      </c>
      <c r="D8" s="33">
        <v>0</v>
      </c>
      <c r="E8" s="4">
        <f>E7+D8</f>
        <v>70</v>
      </c>
      <c r="F8" s="33">
        <v>320</v>
      </c>
      <c r="G8" s="4">
        <f t="shared" si="0"/>
        <v>1300</v>
      </c>
      <c r="H8" s="17">
        <f t="shared" ref="H8:H16" si="1">MIN(E8,G8)</f>
        <v>70</v>
      </c>
    </row>
    <row r="9" spans="2:8" x14ac:dyDescent="0.3">
      <c r="C9" s="32">
        <v>20.16</v>
      </c>
      <c r="D9" s="33">
        <v>160</v>
      </c>
      <c r="E9" s="4">
        <f t="shared" ref="E9:E16" si="2">E8+D9</f>
        <v>230</v>
      </c>
      <c r="F9" s="33">
        <v>0</v>
      </c>
      <c r="G9" s="4">
        <f t="shared" si="0"/>
        <v>980</v>
      </c>
      <c r="H9" s="17">
        <f t="shared" si="1"/>
        <v>230</v>
      </c>
    </row>
    <row r="10" spans="2:8" x14ac:dyDescent="0.3">
      <c r="C10" s="32">
        <v>20.2</v>
      </c>
      <c r="D10" s="33">
        <v>120</v>
      </c>
      <c r="E10" s="4">
        <f t="shared" si="2"/>
        <v>350</v>
      </c>
      <c r="F10" s="33">
        <v>350</v>
      </c>
      <c r="G10" s="4">
        <f t="shared" si="0"/>
        <v>980</v>
      </c>
      <c r="H10" s="17">
        <f t="shared" si="1"/>
        <v>350</v>
      </c>
    </row>
    <row r="11" spans="2:8" x14ac:dyDescent="0.3">
      <c r="C11" s="32">
        <v>20.350000000000001</v>
      </c>
      <c r="D11" s="33">
        <v>180</v>
      </c>
      <c r="E11" s="4">
        <f t="shared" si="2"/>
        <v>530</v>
      </c>
      <c r="F11" s="33">
        <v>0</v>
      </c>
      <c r="G11" s="4">
        <f t="shared" si="0"/>
        <v>630</v>
      </c>
      <c r="H11" s="17">
        <f t="shared" si="1"/>
        <v>530</v>
      </c>
    </row>
    <row r="12" spans="2:8" x14ac:dyDescent="0.3">
      <c r="C12" s="32">
        <v>20.41</v>
      </c>
      <c r="D12" s="33">
        <v>20</v>
      </c>
      <c r="E12" s="4">
        <f t="shared" si="2"/>
        <v>550</v>
      </c>
      <c r="F12" s="33">
        <v>250</v>
      </c>
      <c r="G12" s="4">
        <f t="shared" si="0"/>
        <v>630</v>
      </c>
      <c r="H12" s="79">
        <f t="shared" si="1"/>
        <v>550</v>
      </c>
    </row>
    <row r="13" spans="2:8" x14ac:dyDescent="0.3">
      <c r="C13" s="32">
        <v>20.5</v>
      </c>
      <c r="D13" s="33">
        <v>220</v>
      </c>
      <c r="E13" s="4">
        <f t="shared" si="2"/>
        <v>770</v>
      </c>
      <c r="F13" s="33">
        <v>170</v>
      </c>
      <c r="G13" s="4">
        <f t="shared" si="0"/>
        <v>380</v>
      </c>
      <c r="H13" s="17">
        <f t="shared" si="1"/>
        <v>380</v>
      </c>
    </row>
    <row r="14" spans="2:8" x14ac:dyDescent="0.3">
      <c r="C14" s="32">
        <v>20.59</v>
      </c>
      <c r="D14" s="33">
        <v>280</v>
      </c>
      <c r="E14" s="4">
        <f t="shared" si="2"/>
        <v>1050</v>
      </c>
      <c r="F14" s="33">
        <v>0</v>
      </c>
      <c r="G14" s="4">
        <f t="shared" si="0"/>
        <v>210</v>
      </c>
      <c r="H14" s="17">
        <f t="shared" si="1"/>
        <v>210</v>
      </c>
    </row>
    <row r="15" spans="2:8" x14ac:dyDescent="0.3">
      <c r="C15" s="32">
        <v>20.62</v>
      </c>
      <c r="D15" s="33">
        <v>0</v>
      </c>
      <c r="E15" s="4">
        <f t="shared" si="2"/>
        <v>1050</v>
      </c>
      <c r="F15" s="33">
        <v>60</v>
      </c>
      <c r="G15" s="4">
        <f>G16+F15</f>
        <v>210</v>
      </c>
      <c r="H15" s="17">
        <f t="shared" si="1"/>
        <v>210</v>
      </c>
    </row>
    <row r="16" spans="2:8" x14ac:dyDescent="0.3">
      <c r="C16" s="32">
        <v>20.7</v>
      </c>
      <c r="D16" s="33">
        <v>300</v>
      </c>
      <c r="E16" s="4">
        <f t="shared" si="2"/>
        <v>1350</v>
      </c>
      <c r="F16" s="33">
        <v>150</v>
      </c>
      <c r="G16" s="4">
        <f>F16</f>
        <v>150</v>
      </c>
      <c r="H16" s="17">
        <f t="shared" si="1"/>
        <v>150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G32"/>
  <sheetViews>
    <sheetView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9.21875" style="3" bestFit="1" customWidth="1"/>
    <col min="3" max="7" width="16.6640625" style="3" customWidth="1"/>
    <col min="8" max="8" width="2.6640625" style="3" customWidth="1"/>
    <col min="9" max="16384" width="11.44140625" style="3"/>
  </cols>
  <sheetData>
    <row r="2" spans="2:6" x14ac:dyDescent="0.3">
      <c r="B2" s="1" t="s">
        <v>8</v>
      </c>
    </row>
    <row r="3" spans="2:6" x14ac:dyDescent="0.3">
      <c r="B3" s="1"/>
    </row>
    <row r="4" spans="2:6" s="12" customFormat="1" x14ac:dyDescent="0.3"/>
    <row r="5" spans="2:6" s="12" customFormat="1" x14ac:dyDescent="0.3">
      <c r="B5" s="13"/>
      <c r="D5" s="41" t="s">
        <v>9</v>
      </c>
      <c r="E5" s="41" t="s">
        <v>10</v>
      </c>
      <c r="F5" s="41" t="s">
        <v>11</v>
      </c>
    </row>
    <row r="6" spans="2:6" s="12" customFormat="1" x14ac:dyDescent="0.3">
      <c r="B6" s="13"/>
      <c r="C6" s="12" t="s">
        <v>12</v>
      </c>
      <c r="D6" s="38">
        <f>1/3</f>
        <v>0.33333333333333331</v>
      </c>
      <c r="E6" s="38">
        <f t="shared" ref="E6:F6" si="0">1/3</f>
        <v>0.33333333333333331</v>
      </c>
      <c r="F6" s="38">
        <f t="shared" si="0"/>
        <v>0.33333333333333331</v>
      </c>
    </row>
    <row r="7" spans="2:6" s="12" customFormat="1" x14ac:dyDescent="0.3"/>
    <row r="8" spans="2:6" s="12" customFormat="1" x14ac:dyDescent="0.3">
      <c r="C8" s="37" t="s">
        <v>19</v>
      </c>
      <c r="D8" s="35">
        <v>120</v>
      </c>
      <c r="E8" s="35">
        <v>240</v>
      </c>
      <c r="F8" s="35">
        <v>270</v>
      </c>
    </row>
    <row r="9" spans="2:6" s="12" customFormat="1" x14ac:dyDescent="0.3">
      <c r="C9" s="37" t="s">
        <v>20</v>
      </c>
      <c r="D9" s="35">
        <v>80</v>
      </c>
      <c r="E9" s="35">
        <v>300</v>
      </c>
      <c r="F9" s="35">
        <v>580</v>
      </c>
    </row>
    <row r="10" spans="2:6" s="12" customFormat="1" x14ac:dyDescent="0.3">
      <c r="C10" s="37" t="s">
        <v>21</v>
      </c>
      <c r="D10" s="35">
        <v>20</v>
      </c>
      <c r="E10" s="35">
        <v>280</v>
      </c>
      <c r="F10" s="35">
        <v>690</v>
      </c>
    </row>
    <row r="11" spans="2:6" s="12" customFormat="1" x14ac:dyDescent="0.3"/>
    <row r="12" spans="2:6" s="12" customFormat="1" x14ac:dyDescent="0.3"/>
    <row r="13" spans="2:6" x14ac:dyDescent="0.3">
      <c r="D13" s="13"/>
      <c r="E13" s="13"/>
    </row>
    <row r="14" spans="2:6" x14ac:dyDescent="0.3">
      <c r="D14" s="14" t="s">
        <v>114</v>
      </c>
      <c r="E14" s="14" t="s">
        <v>115</v>
      </c>
      <c r="F14" s="14" t="s">
        <v>116</v>
      </c>
    </row>
    <row r="15" spans="2:6" x14ac:dyDescent="0.3">
      <c r="D15" s="14"/>
      <c r="E15" s="14"/>
      <c r="F15" s="34">
        <v>0.5</v>
      </c>
    </row>
    <row r="16" spans="2:6" x14ac:dyDescent="0.3">
      <c r="C16" s="36" t="s">
        <v>19</v>
      </c>
      <c r="D16" s="39">
        <f>MAX(D8:F8)</f>
        <v>270</v>
      </c>
      <c r="E16" s="39">
        <f>MIN(D8:F8)</f>
        <v>120</v>
      </c>
      <c r="F16" s="39">
        <f>D16*$F$15+E16*(1-$F$15)</f>
        <v>195</v>
      </c>
    </row>
    <row r="17" spans="3:7" x14ac:dyDescent="0.3">
      <c r="C17" s="36" t="s">
        <v>20</v>
      </c>
      <c r="D17" s="39">
        <f>MAX(D9:F9)</f>
        <v>580</v>
      </c>
      <c r="E17" s="39">
        <f>MIN(D9:F9)</f>
        <v>80</v>
      </c>
      <c r="F17" s="39">
        <f>D17*$F$15+E17*(1-$F$15)</f>
        <v>330</v>
      </c>
    </row>
    <row r="18" spans="3:7" x14ac:dyDescent="0.3">
      <c r="C18" s="36" t="s">
        <v>21</v>
      </c>
      <c r="D18" s="39">
        <f>MAX(D10:F10)</f>
        <v>690</v>
      </c>
      <c r="E18" s="39">
        <f>MIN(D10:F10)</f>
        <v>20</v>
      </c>
      <c r="F18" s="39">
        <f>D18*$F$15+E18*(1-$F$15)</f>
        <v>355</v>
      </c>
    </row>
    <row r="21" spans="3:7" x14ac:dyDescent="0.3">
      <c r="D21" s="13" t="s">
        <v>13</v>
      </c>
      <c r="E21" s="13" t="s">
        <v>14</v>
      </c>
      <c r="F21" s="13" t="s">
        <v>15</v>
      </c>
      <c r="G21" s="14" t="s">
        <v>16</v>
      </c>
    </row>
    <row r="22" spans="3:7" x14ac:dyDescent="0.3">
      <c r="D22" s="12"/>
      <c r="E22" s="12"/>
      <c r="F22" s="12"/>
      <c r="G22" s="12"/>
    </row>
    <row r="23" spans="3:7" x14ac:dyDescent="0.3">
      <c r="C23" s="36" t="s">
        <v>19</v>
      </c>
      <c r="D23" s="15">
        <f t="shared" ref="D23:F25" si="1">MAX(D$8:D$10)-D8</f>
        <v>0</v>
      </c>
      <c r="E23" s="15">
        <f t="shared" si="1"/>
        <v>60</v>
      </c>
      <c r="F23" s="15">
        <f t="shared" si="1"/>
        <v>420</v>
      </c>
      <c r="G23" s="39">
        <f>MAX(D23:F23)</f>
        <v>420</v>
      </c>
    </row>
    <row r="24" spans="3:7" x14ac:dyDescent="0.3">
      <c r="C24" s="36" t="s">
        <v>20</v>
      </c>
      <c r="D24" s="15">
        <f t="shared" si="1"/>
        <v>40</v>
      </c>
      <c r="E24" s="15">
        <f t="shared" si="1"/>
        <v>0</v>
      </c>
      <c r="F24" s="15">
        <f t="shared" si="1"/>
        <v>110</v>
      </c>
      <c r="G24" s="39">
        <f t="shared" ref="G24:G25" si="2">MAX(D24:F24)</f>
        <v>110</v>
      </c>
    </row>
    <row r="25" spans="3:7" x14ac:dyDescent="0.3">
      <c r="C25" s="36" t="s">
        <v>21</v>
      </c>
      <c r="D25" s="15">
        <f t="shared" si="1"/>
        <v>100</v>
      </c>
      <c r="E25" s="15">
        <f t="shared" si="1"/>
        <v>20</v>
      </c>
      <c r="F25" s="15">
        <f t="shared" si="1"/>
        <v>0</v>
      </c>
      <c r="G25" s="39">
        <f t="shared" si="2"/>
        <v>100</v>
      </c>
    </row>
    <row r="28" spans="3:7" x14ac:dyDescent="0.3">
      <c r="D28" s="14" t="s">
        <v>117</v>
      </c>
      <c r="E28" s="14" t="s">
        <v>17</v>
      </c>
      <c r="F28" s="14" t="s">
        <v>18</v>
      </c>
    </row>
    <row r="29" spans="3:7" x14ac:dyDescent="0.3">
      <c r="E29" s="12"/>
      <c r="F29" s="12"/>
    </row>
    <row r="30" spans="3:7" x14ac:dyDescent="0.3">
      <c r="C30" s="36" t="s">
        <v>19</v>
      </c>
      <c r="D30" s="40">
        <f>AVERAGE(D8:F8)</f>
        <v>210</v>
      </c>
      <c r="E30" s="39">
        <f>D8*D$6+E8*E$6+F8*F$6</f>
        <v>210</v>
      </c>
      <c r="F30" s="39">
        <f>SQRT(D$6*(D8-E30)^2+E$6*(E8-E30)^2+F$6*(F8-E30)^2)</f>
        <v>64.807406984078597</v>
      </c>
    </row>
    <row r="31" spans="3:7" x14ac:dyDescent="0.3">
      <c r="C31" s="36" t="s">
        <v>20</v>
      </c>
      <c r="D31" s="40">
        <f t="shared" ref="D31:D32" si="3">AVERAGE(D9:F9)</f>
        <v>320</v>
      </c>
      <c r="E31" s="39">
        <f>D9*D$6+E9*E$6+F9*F$6</f>
        <v>320</v>
      </c>
      <c r="F31" s="39">
        <f>SQRT(D$6*(D9-E31)^2+E$6*(E9-E31)^2+F$6*(F9-E31)^2)</f>
        <v>204.6134567096374</v>
      </c>
    </row>
    <row r="32" spans="3:7" x14ac:dyDescent="0.3">
      <c r="C32" s="36" t="s">
        <v>21</v>
      </c>
      <c r="D32" s="40">
        <f t="shared" si="3"/>
        <v>330</v>
      </c>
      <c r="E32" s="39">
        <f>D10*D$6+E10*E$6+F10*F$6</f>
        <v>330</v>
      </c>
      <c r="F32" s="39">
        <f>SQRT(D$6*(D10-E32)^2+E$6*(E10-E32)^2+F$6*(F10-E32)^2)</f>
        <v>275.80186124583469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G32"/>
  <sheetViews>
    <sheetView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9.21875" style="3" bestFit="1" customWidth="1"/>
    <col min="3" max="7" width="16.6640625" style="3" customWidth="1"/>
    <col min="8" max="8" width="2.6640625" style="3" customWidth="1"/>
    <col min="9" max="16384" width="11.44140625" style="3"/>
  </cols>
  <sheetData>
    <row r="2" spans="2:6" x14ac:dyDescent="0.3">
      <c r="B2" s="1" t="s">
        <v>8</v>
      </c>
    </row>
    <row r="3" spans="2:6" x14ac:dyDescent="0.3">
      <c r="B3" s="1"/>
    </row>
    <row r="4" spans="2:6" s="12" customFormat="1" x14ac:dyDescent="0.3"/>
    <row r="5" spans="2:6" s="12" customFormat="1" x14ac:dyDescent="0.3">
      <c r="B5" s="13"/>
      <c r="D5" s="41" t="s">
        <v>9</v>
      </c>
      <c r="E5" s="41" t="s">
        <v>10</v>
      </c>
      <c r="F5" s="41" t="s">
        <v>11</v>
      </c>
    </row>
    <row r="6" spans="2:6" s="12" customFormat="1" x14ac:dyDescent="0.3">
      <c r="B6" s="13"/>
      <c r="C6" s="12" t="s">
        <v>12</v>
      </c>
      <c r="D6" s="38">
        <v>0.2</v>
      </c>
      <c r="E6" s="38">
        <v>0.6</v>
      </c>
      <c r="F6" s="38">
        <v>0.2</v>
      </c>
    </row>
    <row r="7" spans="2:6" s="12" customFormat="1" x14ac:dyDescent="0.3"/>
    <row r="8" spans="2:6" s="12" customFormat="1" x14ac:dyDescent="0.3">
      <c r="C8" s="37" t="s">
        <v>19</v>
      </c>
      <c r="D8" s="35">
        <v>1000</v>
      </c>
      <c r="E8" s="35">
        <v>1000</v>
      </c>
      <c r="F8" s="35">
        <v>10000</v>
      </c>
    </row>
    <row r="9" spans="2:6" s="12" customFormat="1" x14ac:dyDescent="0.3">
      <c r="C9" s="37" t="s">
        <v>20</v>
      </c>
      <c r="D9" s="35">
        <v>2000</v>
      </c>
      <c r="E9" s="35">
        <v>4000</v>
      </c>
      <c r="F9" s="35">
        <v>1000</v>
      </c>
    </row>
    <row r="10" spans="2:6" s="12" customFormat="1" x14ac:dyDescent="0.3">
      <c r="C10" s="37" t="s">
        <v>21</v>
      </c>
      <c r="D10" s="35">
        <v>5000</v>
      </c>
      <c r="E10" s="35">
        <v>3000</v>
      </c>
      <c r="F10" s="35">
        <v>5000</v>
      </c>
    </row>
    <row r="11" spans="2:6" s="12" customFormat="1" x14ac:dyDescent="0.3"/>
    <row r="12" spans="2:6" s="12" customFormat="1" x14ac:dyDescent="0.3"/>
    <row r="13" spans="2:6" x14ac:dyDescent="0.3">
      <c r="D13" s="13"/>
      <c r="E13" s="13"/>
    </row>
    <row r="14" spans="2:6" x14ac:dyDescent="0.3">
      <c r="D14" s="14" t="s">
        <v>114</v>
      </c>
      <c r="E14" s="14" t="s">
        <v>115</v>
      </c>
      <c r="F14" s="14" t="s">
        <v>116</v>
      </c>
    </row>
    <row r="15" spans="2:6" x14ac:dyDescent="0.3">
      <c r="D15" s="14"/>
      <c r="E15" s="14"/>
      <c r="F15" s="34">
        <v>0.5</v>
      </c>
    </row>
    <row r="16" spans="2:6" x14ac:dyDescent="0.3">
      <c r="C16" s="36" t="s">
        <v>19</v>
      </c>
      <c r="D16" s="39">
        <f>MAX(D8:F8)</f>
        <v>10000</v>
      </c>
      <c r="E16" s="39">
        <f>MIN(D8:F8)</f>
        <v>1000</v>
      </c>
      <c r="F16" s="39">
        <f>D16*$F$15+E16*(1-$F$15)</f>
        <v>5500</v>
      </c>
    </row>
    <row r="17" spans="3:7" x14ac:dyDescent="0.3">
      <c r="C17" s="36" t="s">
        <v>20</v>
      </c>
      <c r="D17" s="39">
        <f>MAX(D9:F9)</f>
        <v>4000</v>
      </c>
      <c r="E17" s="39">
        <f>MIN(D9:F9)</f>
        <v>1000</v>
      </c>
      <c r="F17" s="39">
        <f>D17*$F$15+E17*(1-$F$15)</f>
        <v>2500</v>
      </c>
    </row>
    <row r="18" spans="3:7" x14ac:dyDescent="0.3">
      <c r="C18" s="36" t="s">
        <v>21</v>
      </c>
      <c r="D18" s="39">
        <f>MAX(D10:F10)</f>
        <v>5000</v>
      </c>
      <c r="E18" s="39">
        <f>MIN(D10:F10)</f>
        <v>3000</v>
      </c>
      <c r="F18" s="39">
        <f>D18*$F$15+E18*(1-$F$15)</f>
        <v>4000</v>
      </c>
    </row>
    <row r="21" spans="3:7" x14ac:dyDescent="0.3">
      <c r="D21" s="13" t="s">
        <v>13</v>
      </c>
      <c r="E21" s="13" t="s">
        <v>14</v>
      </c>
      <c r="F21" s="13" t="s">
        <v>15</v>
      </c>
      <c r="G21" s="14" t="s">
        <v>16</v>
      </c>
    </row>
    <row r="22" spans="3:7" x14ac:dyDescent="0.3">
      <c r="D22" s="12"/>
      <c r="E22" s="12"/>
      <c r="F22" s="12"/>
      <c r="G22" s="12"/>
    </row>
    <row r="23" spans="3:7" x14ac:dyDescent="0.3">
      <c r="C23" s="36" t="s">
        <v>19</v>
      </c>
      <c r="D23" s="15">
        <f t="shared" ref="D23:F25" si="0">MAX(D$8:D$10)-D8</f>
        <v>4000</v>
      </c>
      <c r="E23" s="15">
        <f t="shared" si="0"/>
        <v>3000</v>
      </c>
      <c r="F23" s="15">
        <f t="shared" si="0"/>
        <v>0</v>
      </c>
      <c r="G23" s="39">
        <f>MAX(D23:F23)</f>
        <v>4000</v>
      </c>
    </row>
    <row r="24" spans="3:7" x14ac:dyDescent="0.3">
      <c r="C24" s="36" t="s">
        <v>20</v>
      </c>
      <c r="D24" s="15">
        <f t="shared" si="0"/>
        <v>3000</v>
      </c>
      <c r="E24" s="15">
        <f t="shared" si="0"/>
        <v>0</v>
      </c>
      <c r="F24" s="15">
        <f t="shared" si="0"/>
        <v>9000</v>
      </c>
      <c r="G24" s="39">
        <f t="shared" ref="G24:G25" si="1">MAX(D24:F24)</f>
        <v>9000</v>
      </c>
    </row>
    <row r="25" spans="3:7" x14ac:dyDescent="0.3">
      <c r="C25" s="36" t="s">
        <v>21</v>
      </c>
      <c r="D25" s="15">
        <f t="shared" si="0"/>
        <v>0</v>
      </c>
      <c r="E25" s="15">
        <f t="shared" si="0"/>
        <v>1000</v>
      </c>
      <c r="F25" s="15">
        <f t="shared" si="0"/>
        <v>5000</v>
      </c>
      <c r="G25" s="39">
        <f t="shared" si="1"/>
        <v>5000</v>
      </c>
    </row>
    <row r="28" spans="3:7" x14ac:dyDescent="0.3">
      <c r="D28" s="14" t="s">
        <v>117</v>
      </c>
      <c r="E28" s="14" t="s">
        <v>17</v>
      </c>
      <c r="F28" s="14" t="s">
        <v>18</v>
      </c>
    </row>
    <row r="29" spans="3:7" x14ac:dyDescent="0.3">
      <c r="E29" s="12"/>
      <c r="F29" s="12"/>
    </row>
    <row r="30" spans="3:7" x14ac:dyDescent="0.3">
      <c r="C30" s="36" t="s">
        <v>19</v>
      </c>
      <c r="D30" s="40">
        <f>AVERAGE(D8:F8)</f>
        <v>4000</v>
      </c>
      <c r="E30" s="39">
        <f>D8*D$6+E8*E$6+F8*F$6</f>
        <v>2800</v>
      </c>
      <c r="F30" s="39">
        <f>SQRT(D$6*(D8-E30)^2+E$6*(E8-E30)^2+F$6*(F8-E30)^2)</f>
        <v>3600</v>
      </c>
    </row>
    <row r="31" spans="3:7" x14ac:dyDescent="0.3">
      <c r="C31" s="36" t="s">
        <v>20</v>
      </c>
      <c r="D31" s="40">
        <f t="shared" ref="D31:D32" si="2">AVERAGE(D9:F9)</f>
        <v>2333.3333333333335</v>
      </c>
      <c r="E31" s="39">
        <f>D9*D$6+E9*E$6+F9*F$6</f>
        <v>3000</v>
      </c>
      <c r="F31" s="39">
        <f>SQRT(D$6*(D9-E31)^2+E$6*(E9-E31)^2+F$6*(F9-E31)^2)</f>
        <v>1264.9110640673518</v>
      </c>
    </row>
    <row r="32" spans="3:7" x14ac:dyDescent="0.3">
      <c r="C32" s="36" t="s">
        <v>21</v>
      </c>
      <c r="D32" s="40">
        <f t="shared" si="2"/>
        <v>4333.333333333333</v>
      </c>
      <c r="E32" s="39">
        <f>D10*D$6+E10*E$6+F10*F$6</f>
        <v>3800</v>
      </c>
      <c r="F32" s="39">
        <f>SQRT(D$6*(D10-E32)^2+E$6*(E10-E32)^2+F$6*(F10-E32)^2)</f>
        <v>979.79589711327128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G32"/>
  <sheetViews>
    <sheetView zoomScaleNormal="100"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9.21875" style="3" bestFit="1" customWidth="1"/>
    <col min="3" max="7" width="16.6640625" style="3" customWidth="1"/>
    <col min="8" max="8" width="2.6640625" style="3" customWidth="1"/>
    <col min="9" max="16384" width="11.44140625" style="3"/>
  </cols>
  <sheetData>
    <row r="2" spans="2:6" x14ac:dyDescent="0.3">
      <c r="B2" s="1" t="s">
        <v>8</v>
      </c>
    </row>
    <row r="3" spans="2:6" x14ac:dyDescent="0.3">
      <c r="B3" s="1"/>
    </row>
    <row r="4" spans="2:6" s="12" customFormat="1" x14ac:dyDescent="0.3"/>
    <row r="5" spans="2:6" s="12" customFormat="1" x14ac:dyDescent="0.3">
      <c r="B5" s="13"/>
      <c r="D5" s="41" t="s">
        <v>9</v>
      </c>
      <c r="E5" s="41" t="s">
        <v>10</v>
      </c>
      <c r="F5" s="41" t="s">
        <v>11</v>
      </c>
    </row>
    <row r="6" spans="2:6" s="12" customFormat="1" x14ac:dyDescent="0.3">
      <c r="B6" s="13"/>
      <c r="C6" s="12" t="s">
        <v>12</v>
      </c>
      <c r="D6" s="38">
        <v>0.2</v>
      </c>
      <c r="E6" s="38">
        <v>0.6</v>
      </c>
      <c r="F6" s="38">
        <v>0.2</v>
      </c>
    </row>
    <row r="7" spans="2:6" s="12" customFormat="1" x14ac:dyDescent="0.3"/>
    <row r="8" spans="2:6" s="12" customFormat="1" x14ac:dyDescent="0.3">
      <c r="C8" s="37" t="s">
        <v>19</v>
      </c>
      <c r="D8" s="35">
        <v>100</v>
      </c>
      <c r="E8" s="35">
        <v>2500</v>
      </c>
      <c r="F8" s="35">
        <v>7900</v>
      </c>
    </row>
    <row r="9" spans="2:6" s="12" customFormat="1" x14ac:dyDescent="0.3">
      <c r="C9" s="37" t="s">
        <v>20</v>
      </c>
      <c r="D9" s="35">
        <v>200</v>
      </c>
      <c r="E9" s="35">
        <v>3300</v>
      </c>
      <c r="F9" s="35">
        <v>7800</v>
      </c>
    </row>
    <row r="10" spans="2:6" s="12" customFormat="1" x14ac:dyDescent="0.3">
      <c r="C10" s="37" t="s">
        <v>21</v>
      </c>
      <c r="D10" s="35">
        <v>150</v>
      </c>
      <c r="E10" s="35">
        <v>4400</v>
      </c>
      <c r="F10" s="35">
        <v>5200</v>
      </c>
    </row>
    <row r="11" spans="2:6" s="12" customFormat="1" x14ac:dyDescent="0.3"/>
    <row r="12" spans="2:6" s="12" customFormat="1" x14ac:dyDescent="0.3"/>
    <row r="13" spans="2:6" x14ac:dyDescent="0.3">
      <c r="D13" s="13"/>
      <c r="E13" s="13"/>
    </row>
    <row r="14" spans="2:6" x14ac:dyDescent="0.3">
      <c r="D14" s="14" t="s">
        <v>114</v>
      </c>
      <c r="E14" s="14" t="s">
        <v>115</v>
      </c>
      <c r="F14" s="14" t="s">
        <v>116</v>
      </c>
    </row>
    <row r="15" spans="2:6" x14ac:dyDescent="0.3">
      <c r="D15" s="14"/>
      <c r="E15" s="14"/>
      <c r="F15" s="34">
        <v>0.5</v>
      </c>
    </row>
    <row r="16" spans="2:6" x14ac:dyDescent="0.3">
      <c r="C16" s="36" t="s">
        <v>19</v>
      </c>
      <c r="D16" s="39">
        <f>MAX(D8:F8)</f>
        <v>7900</v>
      </c>
      <c r="E16" s="39">
        <f>MIN(D8:F8)</f>
        <v>100</v>
      </c>
      <c r="F16" s="39">
        <f>D16*$F$15+E16*(1-$F$15)</f>
        <v>4000</v>
      </c>
    </row>
    <row r="17" spans="3:7" x14ac:dyDescent="0.3">
      <c r="C17" s="36" t="s">
        <v>20</v>
      </c>
      <c r="D17" s="39">
        <f>MAX(D9:F9)</f>
        <v>7800</v>
      </c>
      <c r="E17" s="39">
        <f>MIN(D9:F9)</f>
        <v>200</v>
      </c>
      <c r="F17" s="39">
        <f>D17*$F$15+E17*(1-$F$15)</f>
        <v>4000</v>
      </c>
    </row>
    <row r="18" spans="3:7" x14ac:dyDescent="0.3">
      <c r="C18" s="36" t="s">
        <v>21</v>
      </c>
      <c r="D18" s="39">
        <f>MAX(D10:F10)</f>
        <v>5200</v>
      </c>
      <c r="E18" s="39">
        <f>MIN(D10:F10)</f>
        <v>150</v>
      </c>
      <c r="F18" s="39">
        <f>D18*$F$15+E18*(1-$F$15)</f>
        <v>2675</v>
      </c>
    </row>
    <row r="21" spans="3:7" x14ac:dyDescent="0.3">
      <c r="D21" s="13" t="s">
        <v>13</v>
      </c>
      <c r="E21" s="13" t="s">
        <v>14</v>
      </c>
      <c r="F21" s="13" t="s">
        <v>15</v>
      </c>
      <c r="G21" s="14" t="s">
        <v>16</v>
      </c>
    </row>
    <row r="22" spans="3:7" x14ac:dyDescent="0.3">
      <c r="D22" s="12"/>
      <c r="E22" s="12"/>
      <c r="F22" s="12"/>
      <c r="G22" s="12"/>
    </row>
    <row r="23" spans="3:7" x14ac:dyDescent="0.3">
      <c r="C23" s="36" t="s">
        <v>19</v>
      </c>
      <c r="D23" s="15">
        <f t="shared" ref="D23:F25" si="0">MAX(D$8:D$10)-D8</f>
        <v>100</v>
      </c>
      <c r="E23" s="15">
        <f t="shared" si="0"/>
        <v>1900</v>
      </c>
      <c r="F23" s="15">
        <f t="shared" si="0"/>
        <v>0</v>
      </c>
      <c r="G23" s="39">
        <f>MAX(D23:F23)</f>
        <v>1900</v>
      </c>
    </row>
    <row r="24" spans="3:7" x14ac:dyDescent="0.3">
      <c r="C24" s="36" t="s">
        <v>20</v>
      </c>
      <c r="D24" s="15">
        <f t="shared" si="0"/>
        <v>0</v>
      </c>
      <c r="E24" s="15">
        <f t="shared" si="0"/>
        <v>1100</v>
      </c>
      <c r="F24" s="15">
        <f t="shared" si="0"/>
        <v>100</v>
      </c>
      <c r="G24" s="39">
        <f t="shared" ref="G24:G25" si="1">MAX(D24:F24)</f>
        <v>1100</v>
      </c>
    </row>
    <row r="25" spans="3:7" x14ac:dyDescent="0.3">
      <c r="C25" s="36" t="s">
        <v>21</v>
      </c>
      <c r="D25" s="15">
        <f t="shared" si="0"/>
        <v>50</v>
      </c>
      <c r="E25" s="15">
        <f t="shared" si="0"/>
        <v>0</v>
      </c>
      <c r="F25" s="15">
        <f t="shared" si="0"/>
        <v>2700</v>
      </c>
      <c r="G25" s="39">
        <f t="shared" si="1"/>
        <v>2700</v>
      </c>
    </row>
    <row r="28" spans="3:7" x14ac:dyDescent="0.3">
      <c r="D28" s="14" t="s">
        <v>117</v>
      </c>
      <c r="E28" s="14" t="s">
        <v>17</v>
      </c>
      <c r="F28" s="14" t="s">
        <v>18</v>
      </c>
    </row>
    <row r="29" spans="3:7" x14ac:dyDescent="0.3">
      <c r="E29" s="12"/>
      <c r="F29" s="12"/>
    </row>
    <row r="30" spans="3:7" x14ac:dyDescent="0.3">
      <c r="C30" s="36" t="s">
        <v>19</v>
      </c>
      <c r="D30" s="40">
        <f>AVERAGE(D8:F8)</f>
        <v>3500</v>
      </c>
      <c r="E30" s="39">
        <f>D8*D$6+E8*E$6+F8*F$6</f>
        <v>3100</v>
      </c>
      <c r="F30" s="39">
        <f>SQRT(D$6*(D8-E30)^2+E$6*(E8-E30)^2+F$6*(F8-E30)^2)</f>
        <v>2573.7132707432661</v>
      </c>
    </row>
    <row r="31" spans="3:7" x14ac:dyDescent="0.3">
      <c r="C31" s="36" t="s">
        <v>20</v>
      </c>
      <c r="D31" s="40">
        <f t="shared" ref="D31:D32" si="2">AVERAGE(D9:F9)</f>
        <v>3766.6666666666665</v>
      </c>
      <c r="E31" s="39">
        <f>D9*D$6+E9*E$6+F9*F$6</f>
        <v>3580</v>
      </c>
      <c r="F31" s="39">
        <f>SQRT(D$6*(D9-E31)^2+E$6*(E9-E31)^2+F$6*(F9-E31)^2)</f>
        <v>2427.6737836867624</v>
      </c>
    </row>
    <row r="32" spans="3:7" x14ac:dyDescent="0.3">
      <c r="C32" s="36" t="s">
        <v>21</v>
      </c>
      <c r="D32" s="40">
        <f t="shared" si="2"/>
        <v>3250</v>
      </c>
      <c r="E32" s="39">
        <f>D10*D$6+E10*E$6+F10*F$6</f>
        <v>3710</v>
      </c>
      <c r="F32" s="39">
        <f>SQRT(D$6*(D10-E32)^2+E$6*(E10-E32)^2+F$6*(F10-E32)^2)</f>
        <v>1806.7650649710936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D22"/>
  <sheetViews>
    <sheetView workbookViewId="0">
      <selection activeCell="B2" sqref="B2"/>
    </sheetView>
  </sheetViews>
  <sheetFormatPr baseColWidth="10" defaultColWidth="11.44140625" defaultRowHeight="14.4" x14ac:dyDescent="0.3"/>
  <cols>
    <col min="1" max="1" width="2.6640625" style="3" customWidth="1"/>
    <col min="2" max="2" width="17.5546875" style="3" bestFit="1" customWidth="1"/>
    <col min="3" max="4" width="26" style="3" customWidth="1"/>
    <col min="5" max="5" width="2.6640625" style="3" customWidth="1"/>
    <col min="6" max="16384" width="11.44140625" style="3"/>
  </cols>
  <sheetData>
    <row r="2" spans="2:4" x14ac:dyDescent="0.3">
      <c r="B2" s="1" t="s">
        <v>0</v>
      </c>
    </row>
    <row r="3" spans="2:4" x14ac:dyDescent="0.3">
      <c r="B3" s="3" t="s">
        <v>118</v>
      </c>
      <c r="C3" s="1"/>
    </row>
    <row r="4" spans="2:4" x14ac:dyDescent="0.3">
      <c r="C4" s="1"/>
    </row>
    <row r="5" spans="2:4" x14ac:dyDescent="0.3">
      <c r="B5" s="1" t="s">
        <v>119</v>
      </c>
    </row>
    <row r="6" spans="2:4" x14ac:dyDescent="0.3">
      <c r="B6" s="1"/>
    </row>
    <row r="7" spans="2:4" x14ac:dyDescent="0.3">
      <c r="C7" s="2" t="s">
        <v>1</v>
      </c>
      <c r="D7" s="2" t="s">
        <v>2</v>
      </c>
    </row>
    <row r="8" spans="2:4" x14ac:dyDescent="0.3">
      <c r="C8" s="4">
        <v>1</v>
      </c>
      <c r="D8" s="42">
        <v>3000</v>
      </c>
    </row>
    <row r="9" spans="2:4" x14ac:dyDescent="0.3">
      <c r="C9" s="4">
        <v>50</v>
      </c>
      <c r="D9" s="42">
        <v>1700</v>
      </c>
    </row>
    <row r="11" spans="2:4" x14ac:dyDescent="0.3">
      <c r="C11" s="7" t="s">
        <v>3</v>
      </c>
      <c r="D11" s="8">
        <f>(LN(D9)-LN(D8))/(LN(C9)-LN(C8))</f>
        <v>-0.14518933984228363</v>
      </c>
    </row>
    <row r="12" spans="2:4" x14ac:dyDescent="0.3">
      <c r="C12" s="7" t="s">
        <v>4</v>
      </c>
      <c r="D12" s="9">
        <f>1-1/2^-D11</f>
        <v>9.5739305741948555E-2</v>
      </c>
    </row>
    <row r="15" spans="2:4" x14ac:dyDescent="0.3">
      <c r="B15" s="1" t="s">
        <v>120</v>
      </c>
    </row>
    <row r="17" spans="3:4" x14ac:dyDescent="0.3">
      <c r="C17" s="5" t="s">
        <v>3</v>
      </c>
      <c r="D17" s="43">
        <v>-0.2</v>
      </c>
    </row>
    <row r="19" spans="3:4" x14ac:dyDescent="0.3">
      <c r="C19" s="10" t="s">
        <v>5</v>
      </c>
      <c r="D19" s="10" t="s">
        <v>6</v>
      </c>
    </row>
    <row r="20" spans="3:4" x14ac:dyDescent="0.3">
      <c r="C20" s="44">
        <v>1</v>
      </c>
      <c r="D20" s="42">
        <v>500</v>
      </c>
    </row>
    <row r="21" spans="3:4" x14ac:dyDescent="0.3">
      <c r="C21" s="33">
        <v>200</v>
      </c>
      <c r="D21" s="11">
        <f>D$20/C21^-D$17</f>
        <v>173.2862107887866</v>
      </c>
    </row>
    <row r="22" spans="3:4" x14ac:dyDescent="0.3">
      <c r="C22" s="33">
        <v>400</v>
      </c>
      <c r="D22" s="11">
        <f>D$20/C22^-D$17</f>
        <v>150.85440841362907</v>
      </c>
    </row>
  </sheetData>
  <pageMargins left="0.70866141732283472" right="0.70866141732283472" top="0.78740157480314965" bottom="0.78740157480314965" header="0.31496062992125984" footer="0.31496062992125984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D16"/>
  <sheetViews>
    <sheetView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19.6640625" bestFit="1" customWidth="1"/>
    <col min="3" max="4" width="25.6640625" customWidth="1"/>
    <col min="5" max="5" width="2.6640625" customWidth="1"/>
  </cols>
  <sheetData>
    <row r="2" spans="2:4" x14ac:dyDescent="0.3">
      <c r="B2" s="1" t="s">
        <v>0</v>
      </c>
    </row>
    <row r="3" spans="2:4" x14ac:dyDescent="0.3">
      <c r="B3" s="3" t="s">
        <v>121</v>
      </c>
    </row>
    <row r="4" spans="2:4" x14ac:dyDescent="0.3">
      <c r="C4" s="1"/>
    </row>
    <row r="5" spans="2:4" x14ac:dyDescent="0.3">
      <c r="C5" t="s">
        <v>39</v>
      </c>
      <c r="D5" s="45">
        <v>1100000</v>
      </c>
    </row>
    <row r="6" spans="2:4" x14ac:dyDescent="0.3">
      <c r="C6" t="s">
        <v>40</v>
      </c>
      <c r="D6" s="45">
        <v>400000</v>
      </c>
    </row>
    <row r="7" spans="2:4" x14ac:dyDescent="0.3">
      <c r="C7" t="s">
        <v>41</v>
      </c>
      <c r="D7" s="45">
        <v>500000</v>
      </c>
    </row>
    <row r="8" spans="2:4" x14ac:dyDescent="0.3">
      <c r="C8" t="s">
        <v>42</v>
      </c>
      <c r="D8" s="45">
        <v>200000</v>
      </c>
    </row>
    <row r="9" spans="2:4" x14ac:dyDescent="0.3">
      <c r="C9" t="s">
        <v>43</v>
      </c>
      <c r="D9" s="45">
        <v>500000</v>
      </c>
    </row>
    <row r="12" spans="2:4" x14ac:dyDescent="0.3">
      <c r="C12" s="18" t="s">
        <v>44</v>
      </c>
      <c r="D12" s="19">
        <f>D5-D6</f>
        <v>700000</v>
      </c>
    </row>
    <row r="13" spans="2:4" x14ac:dyDescent="0.3">
      <c r="C13" s="18" t="s">
        <v>45</v>
      </c>
      <c r="D13" s="19">
        <f>D12-D7</f>
        <v>200000</v>
      </c>
    </row>
    <row r="14" spans="2:4" x14ac:dyDescent="0.3">
      <c r="C14" s="18" t="s">
        <v>46</v>
      </c>
      <c r="D14" s="20">
        <f>D13/D5</f>
        <v>0.18181818181818182</v>
      </c>
    </row>
    <row r="15" spans="2:4" x14ac:dyDescent="0.3">
      <c r="C15" s="18" t="s">
        <v>47</v>
      </c>
      <c r="D15" s="20">
        <f>D5/(D8+D9)</f>
        <v>1.5714285714285714</v>
      </c>
    </row>
    <row r="16" spans="2:4" x14ac:dyDescent="0.3">
      <c r="C16" s="18" t="s">
        <v>48</v>
      </c>
      <c r="D16" s="20">
        <f>D13/(D8+D9)</f>
        <v>0.2857142857142857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I15"/>
  <sheetViews>
    <sheetView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23.109375" bestFit="1" customWidth="1"/>
    <col min="3" max="3" width="20.21875" bestFit="1" customWidth="1"/>
    <col min="4" max="9" width="11.44140625" style="21" customWidth="1"/>
    <col min="10" max="10" width="2.6640625" customWidth="1"/>
  </cols>
  <sheetData>
    <row r="2" spans="2:9" x14ac:dyDescent="0.3">
      <c r="B2" s="1" t="s">
        <v>7</v>
      </c>
    </row>
    <row r="3" spans="2:9" x14ac:dyDescent="0.3">
      <c r="B3" t="s">
        <v>122</v>
      </c>
    </row>
    <row r="5" spans="2:9" x14ac:dyDescent="0.3">
      <c r="C5" s="3" t="s">
        <v>85</v>
      </c>
      <c r="D5" s="2" t="s">
        <v>80</v>
      </c>
      <c r="E5" s="2" t="s">
        <v>79</v>
      </c>
      <c r="F5" s="2" t="s">
        <v>78</v>
      </c>
      <c r="G5" s="2" t="s">
        <v>77</v>
      </c>
      <c r="H5" s="2" t="s">
        <v>76</v>
      </c>
      <c r="I5" s="2" t="s">
        <v>75</v>
      </c>
    </row>
    <row r="6" spans="2:9" x14ac:dyDescent="0.3">
      <c r="C6" s="1" t="s">
        <v>84</v>
      </c>
      <c r="D6" s="26"/>
      <c r="E6" s="46">
        <v>80</v>
      </c>
      <c r="F6" s="46">
        <v>400</v>
      </c>
      <c r="G6" s="46">
        <v>3200</v>
      </c>
      <c r="H6" s="46">
        <v>240</v>
      </c>
      <c r="I6" s="46">
        <v>80</v>
      </c>
    </row>
    <row r="7" spans="2:9" x14ac:dyDescent="0.3">
      <c r="C7" s="1" t="s">
        <v>83</v>
      </c>
      <c r="D7" s="47">
        <v>1</v>
      </c>
      <c r="E7" s="25"/>
      <c r="F7" s="47">
        <v>5</v>
      </c>
      <c r="G7" s="47">
        <v>5</v>
      </c>
      <c r="H7" s="47">
        <v>70</v>
      </c>
      <c r="I7" s="47">
        <v>20</v>
      </c>
    </row>
    <row r="8" spans="2:9" x14ac:dyDescent="0.3">
      <c r="C8" s="1" t="s">
        <v>82</v>
      </c>
      <c r="D8" s="48">
        <v>5000</v>
      </c>
      <c r="E8" s="48">
        <v>9900</v>
      </c>
      <c r="F8" s="48">
        <v>100000</v>
      </c>
      <c r="G8" s="48">
        <v>100000</v>
      </c>
      <c r="H8" s="48">
        <v>100000</v>
      </c>
      <c r="I8" s="48">
        <v>100000</v>
      </c>
    </row>
    <row r="9" spans="2:9" x14ac:dyDescent="0.3">
      <c r="C9" s="1"/>
      <c r="D9" s="48"/>
      <c r="E9" s="48"/>
      <c r="F9" s="48"/>
      <c r="G9" s="48"/>
      <c r="H9" s="48"/>
      <c r="I9" s="48"/>
    </row>
    <row r="11" spans="2:9" x14ac:dyDescent="0.3">
      <c r="C11" s="53" t="s">
        <v>81</v>
      </c>
      <c r="D11" s="7" t="s">
        <v>80</v>
      </c>
      <c r="E11" s="7" t="s">
        <v>79</v>
      </c>
      <c r="F11" s="7" t="s">
        <v>78</v>
      </c>
      <c r="G11" s="7" t="s">
        <v>77</v>
      </c>
      <c r="H11" s="7" t="s">
        <v>76</v>
      </c>
      <c r="I11" s="7" t="s">
        <v>75</v>
      </c>
    </row>
    <row r="12" spans="2:9" x14ac:dyDescent="0.3">
      <c r="C12" s="18" t="s">
        <v>74</v>
      </c>
      <c r="D12" s="24">
        <v>0</v>
      </c>
      <c r="E12" s="24">
        <f>$D8*E6/SUM($E6:$I6)</f>
        <v>100</v>
      </c>
      <c r="F12" s="24">
        <f>$D8*F6/SUM($E6:$I6)</f>
        <v>500</v>
      </c>
      <c r="G12" s="24">
        <f>$D8*G6/SUM($E6:$I6)</f>
        <v>4000</v>
      </c>
      <c r="H12" s="24">
        <f>$D8*H6/SUM($E6:$I6)</f>
        <v>300</v>
      </c>
      <c r="I12" s="24">
        <f>$D8*I6/SUM($E6:$I6)</f>
        <v>100</v>
      </c>
    </row>
    <row r="13" spans="2:9" x14ac:dyDescent="0.3">
      <c r="C13" s="18" t="s">
        <v>73</v>
      </c>
      <c r="D13" s="24">
        <v>0</v>
      </c>
      <c r="E13" s="24">
        <f>E8+E12</f>
        <v>10000</v>
      </c>
      <c r="F13" s="24">
        <f>F8+F12</f>
        <v>100500</v>
      </c>
      <c r="G13" s="24">
        <f>G8+G12</f>
        <v>104000</v>
      </c>
      <c r="H13" s="24">
        <f>H8+H12</f>
        <v>100300</v>
      </c>
      <c r="I13" s="24">
        <f>I8+I12</f>
        <v>100100</v>
      </c>
    </row>
    <row r="14" spans="2:9" x14ac:dyDescent="0.3">
      <c r="C14" s="18" t="s">
        <v>72</v>
      </c>
      <c r="D14" s="24">
        <v>0</v>
      </c>
      <c r="E14" s="24">
        <v>0</v>
      </c>
      <c r="F14" s="24">
        <f>$E13*F7/SUM($F7:$I7)</f>
        <v>500</v>
      </c>
      <c r="G14" s="24">
        <f>$E13*G7/SUM($F7:$I7)</f>
        <v>500</v>
      </c>
      <c r="H14" s="24">
        <f>$E13*H7/SUM($F7:$I7)</f>
        <v>7000</v>
      </c>
      <c r="I14" s="24">
        <f>$E13*I7/SUM($F7:$I7)</f>
        <v>2000</v>
      </c>
    </row>
    <row r="15" spans="2:9" x14ac:dyDescent="0.3">
      <c r="C15" s="18" t="s">
        <v>71</v>
      </c>
      <c r="D15" s="24">
        <v>0</v>
      </c>
      <c r="E15" s="24">
        <v>0</v>
      </c>
      <c r="F15" s="24">
        <f>F13+F14</f>
        <v>101000</v>
      </c>
      <c r="G15" s="24">
        <f>G13+G14</f>
        <v>104500</v>
      </c>
      <c r="H15" s="24">
        <f>H13+H14</f>
        <v>107300</v>
      </c>
      <c r="I15" s="24">
        <f>I13+I14</f>
        <v>102100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2:H23"/>
  <sheetViews>
    <sheetView zoomScaleNormal="100" workbookViewId="0">
      <selection activeCell="B2" sqref="B2"/>
    </sheetView>
  </sheetViews>
  <sheetFormatPr baseColWidth="10" defaultRowHeight="14.4" x14ac:dyDescent="0.3"/>
  <cols>
    <col min="1" max="1" width="2.6640625" customWidth="1"/>
    <col min="2" max="2" width="23.109375" style="21" bestFit="1" customWidth="1"/>
    <col min="3" max="3" width="34.88671875" bestFit="1" customWidth="1"/>
    <col min="4" max="6" width="13.33203125" style="21" customWidth="1"/>
    <col min="7" max="7" width="2.6640625" style="21" customWidth="1"/>
    <col min="8" max="8" width="11.44140625" style="21" customWidth="1"/>
  </cols>
  <sheetData>
    <row r="2" spans="2:6" x14ac:dyDescent="0.3">
      <c r="B2" s="1" t="s">
        <v>7</v>
      </c>
    </row>
    <row r="3" spans="2:6" x14ac:dyDescent="0.3">
      <c r="B3" s="52" t="s">
        <v>124</v>
      </c>
    </row>
    <row r="4" spans="2:6" x14ac:dyDescent="0.3">
      <c r="B4" s="52"/>
    </row>
    <row r="5" spans="2:6" x14ac:dyDescent="0.3">
      <c r="D5" s="2" t="s">
        <v>123</v>
      </c>
      <c r="E5" s="2" t="s">
        <v>125</v>
      </c>
      <c r="F5" s="2" t="s">
        <v>126</v>
      </c>
    </row>
    <row r="6" spans="2:6" x14ac:dyDescent="0.3">
      <c r="C6" s="3" t="s">
        <v>22</v>
      </c>
      <c r="E6" s="49">
        <v>22</v>
      </c>
      <c r="F6" s="49">
        <v>76</v>
      </c>
    </row>
    <row r="7" spans="2:6" x14ac:dyDescent="0.3">
      <c r="C7" s="3" t="s">
        <v>23</v>
      </c>
      <c r="E7" s="49">
        <v>57</v>
      </c>
      <c r="F7" s="49">
        <v>98</v>
      </c>
    </row>
    <row r="8" spans="2:6" x14ac:dyDescent="0.3">
      <c r="C8" s="3" t="s">
        <v>49</v>
      </c>
      <c r="E8" s="50">
        <v>15000</v>
      </c>
      <c r="F8" s="50">
        <v>12000</v>
      </c>
    </row>
    <row r="9" spans="2:6" x14ac:dyDescent="0.3">
      <c r="C9" s="3" t="s">
        <v>129</v>
      </c>
      <c r="D9" s="51">
        <f>D14*0.3</f>
        <v>372600</v>
      </c>
    </row>
    <row r="10" spans="2:6" x14ac:dyDescent="0.3">
      <c r="C10" s="3" t="s">
        <v>130</v>
      </c>
      <c r="D10" s="51">
        <f>D15*1.2</f>
        <v>2437200</v>
      </c>
    </row>
    <row r="11" spans="2:6" x14ac:dyDescent="0.3">
      <c r="C11" s="3" t="s">
        <v>131</v>
      </c>
      <c r="D11" s="51">
        <f>D20*0.15</f>
        <v>912420</v>
      </c>
    </row>
    <row r="12" spans="2:6" x14ac:dyDescent="0.3">
      <c r="C12" s="3" t="s">
        <v>132</v>
      </c>
      <c r="D12" s="51">
        <f>D20*0.23</f>
        <v>1399044</v>
      </c>
    </row>
    <row r="14" spans="2:6" x14ac:dyDescent="0.3">
      <c r="C14" s="3" t="s">
        <v>127</v>
      </c>
      <c r="D14" s="22">
        <f>E14+F14</f>
        <v>1242000</v>
      </c>
      <c r="E14" s="22">
        <f>E6*E8</f>
        <v>330000</v>
      </c>
      <c r="F14" s="22">
        <f>F6*F8</f>
        <v>912000</v>
      </c>
    </row>
    <row r="15" spans="2:6" x14ac:dyDescent="0.3">
      <c r="C15" s="3" t="s">
        <v>128</v>
      </c>
      <c r="D15" s="22">
        <f>E15+F15</f>
        <v>2031000</v>
      </c>
      <c r="E15" s="22">
        <f>E7*E8</f>
        <v>855000</v>
      </c>
      <c r="F15" s="22">
        <f>F7*F8</f>
        <v>1176000</v>
      </c>
    </row>
    <row r="18" spans="3:6" x14ac:dyDescent="0.3">
      <c r="C18" s="18" t="s">
        <v>24</v>
      </c>
      <c r="D18" s="23">
        <f>D9/D14</f>
        <v>0.3</v>
      </c>
    </row>
    <row r="19" spans="3:6" x14ac:dyDescent="0.3">
      <c r="C19" s="18" t="s">
        <v>25</v>
      </c>
      <c r="D19" s="23">
        <f>D10/D15</f>
        <v>1.2</v>
      </c>
    </row>
    <row r="20" spans="3:6" x14ac:dyDescent="0.3">
      <c r="C20" s="18" t="s">
        <v>162</v>
      </c>
      <c r="D20" s="73">
        <f>D9+D10+D14+D15</f>
        <v>6082800</v>
      </c>
      <c r="E20" s="71">
        <f>E6*(1+$D18)+E7*(1+$D19)</f>
        <v>154</v>
      </c>
      <c r="F20" s="71">
        <f>F6*(1+$D18)+F7*(1+$D19)</f>
        <v>314.40000000000003</v>
      </c>
    </row>
    <row r="21" spans="3:6" x14ac:dyDescent="0.3">
      <c r="C21" s="18" t="s">
        <v>26</v>
      </c>
      <c r="D21" s="23">
        <f>D11/(D$14+D$15+D$9+D$10)</f>
        <v>0.15</v>
      </c>
    </row>
    <row r="22" spans="3:6" x14ac:dyDescent="0.3">
      <c r="C22" s="18" t="s">
        <v>27</v>
      </c>
      <c r="D22" s="23">
        <f>D12/(D$14+D$15+D$9+D$10)</f>
        <v>0.23</v>
      </c>
    </row>
    <row r="23" spans="3:6" x14ac:dyDescent="0.3">
      <c r="C23" s="18" t="s">
        <v>28</v>
      </c>
      <c r="D23" s="72">
        <f>D20+D11+D12</f>
        <v>8394264</v>
      </c>
      <c r="E23" s="71">
        <f>E20*(1+$D21+$D22)</f>
        <v>212.51999999999998</v>
      </c>
      <c r="F23" s="71">
        <f>F20*(1+$D21+$D22)</f>
        <v>433.87200000000001</v>
      </c>
    </row>
  </sheetData>
  <pageMargins left="0.70866141732283472" right="0.70866141732283472" top="0.78740157480314965" bottom="0.78740157480314965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14</vt:i4>
      </vt:variant>
      <vt:variant>
        <vt:lpstr>Benannte Bereiche</vt:lpstr>
      </vt:variant>
      <vt:variant>
        <vt:i4>14</vt:i4>
      </vt:variant>
    </vt:vector>
  </HeadingPairs>
  <TitlesOfParts>
    <vt:vector size="28" baseType="lpstr">
      <vt:lpstr>0</vt:lpstr>
      <vt:lpstr>1-3</vt:lpstr>
      <vt:lpstr>2-4</vt:lpstr>
      <vt:lpstr>2-5</vt:lpstr>
      <vt:lpstr>2-6</vt:lpstr>
      <vt:lpstr>9-1</vt:lpstr>
      <vt:lpstr>9-2</vt:lpstr>
      <vt:lpstr>11-1</vt:lpstr>
      <vt:lpstr>11-2</vt:lpstr>
      <vt:lpstr>11-3</vt:lpstr>
      <vt:lpstr>12-3</vt:lpstr>
      <vt:lpstr>13-1</vt:lpstr>
      <vt:lpstr>13-2</vt:lpstr>
      <vt:lpstr>15-3</vt:lpstr>
      <vt:lpstr>'0'!Druckbereich</vt:lpstr>
      <vt:lpstr>'11-1'!Druckbereich</vt:lpstr>
      <vt:lpstr>'11-2'!Druckbereich</vt:lpstr>
      <vt:lpstr>'11-3'!Druckbereich</vt:lpstr>
      <vt:lpstr>'12-3'!Druckbereich</vt:lpstr>
      <vt:lpstr>'1-3'!Druckbereich</vt:lpstr>
      <vt:lpstr>'13-1'!Druckbereich</vt:lpstr>
      <vt:lpstr>'13-2'!Druckbereich</vt:lpstr>
      <vt:lpstr>'15-3'!Druckbereich</vt:lpstr>
      <vt:lpstr>'2-4'!Druckbereich</vt:lpstr>
      <vt:lpstr>'2-5'!Druckbereich</vt:lpstr>
      <vt:lpstr>'2-6'!Druckbereich</vt:lpstr>
      <vt:lpstr>'9-1'!Druckbereich</vt:lpstr>
      <vt:lpstr>'9-2'!Druckbereich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Dietmar Vahs | Jan Schäfer-Kunz: Einführung in die Betriebswirtschaftslehre</dc:title>
  <dc:subject>Tabellenkalkulationen zum Klausurtraining</dc:subject>
  <dc:creator>Prof. Dr. Jan Schäfer-Kunz</dc:creator>
  <cp:keywords/>
  <cp:lastModifiedBy>Prof. Dr. Jan Schäfer-Kunz</cp:lastModifiedBy>
  <dcterms:created xsi:type="dcterms:W3CDTF">2012-11-23T17:18:50Z</dcterms:created>
  <dcterms:modified xsi:type="dcterms:W3CDTF">2021-07-11T18:34:11Z</dcterms:modified>
</cp:coreProperties>
</file>